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Google Drive MPF\Meu Drive\Documents\0 - SLDE\2025\Pregão\Pregão SRP 90002_2025 - Terceirização\Edital\Edital e anexos\ANEXO III - MODELO PROPOSTA E PLANILHA DE CUSTOS\"/>
    </mc:Choice>
  </mc:AlternateContent>
  <xr:revisionPtr revIDLastSave="0" documentId="13_ncr:1_{237EB717-16CD-4E5B-99F4-23CF16D55864}" xr6:coauthVersionLast="47" xr6:coauthVersionMax="47" xr10:uidLastSave="{00000000-0000-0000-0000-000000000000}"/>
  <bookViews>
    <workbookView xWindow="28680" yWindow="-120" windowWidth="20730" windowHeight="11040" tabRatio="848" xr2:uid="{00000000-000D-0000-FFFF-FFFF00000000}"/>
  </bookViews>
  <sheets>
    <sheet name="INSTRUÇOES PARA PREENCHIMENTO" sheetId="14" r:id="rId1"/>
    <sheet name="Proposta de Preços" sheetId="13" r:id="rId2"/>
    <sheet name="NP" sheetId="1" r:id="rId3"/>
    <sheet name="PC" sheetId="2" r:id="rId4"/>
    <sheet name="Salários.VA.VT.QteDias.LDI.T" sheetId="3" r:id="rId5"/>
    <sheet name="Gás" sheetId="4" r:id="rId6"/>
    <sheet name="GA" sheetId="5" r:id="rId7"/>
    <sheet name="MLHCC - Ônus da Contratada" sheetId="6" r:id="rId8"/>
    <sheet name="MCC - Sob Demanda" sheetId="7" r:id="rId9"/>
    <sheet name="MLPH" sheetId="8" r:id="rId10"/>
    <sheet name="Unif" sheetId="9" r:id="rId11"/>
    <sheet name="EPI´s - LC" sheetId="10" r:id="rId12"/>
    <sheet name="AAII" sheetId="11" r:id="rId13"/>
    <sheet name="SLCeCopeiragem" sheetId="12" r:id="rId14"/>
  </sheets>
  <externalReferences>
    <externalReference r:id="rId15"/>
    <externalReference r:id="rId16"/>
    <externalReference r:id="rId17"/>
  </externalReferences>
  <definedNames>
    <definedName name="_xlnm.Print_Area" localSheetId="0">'INSTRUÇOES PARA PREENCHIMENTO'!$A$1:$J$25</definedName>
    <definedName name="CATEGORIA_PROFISSIONAL">'[1]INSERÇÃO-DE-DADOS'!$D$23</definedName>
    <definedName name="DATA_APRESENTACAO_PROPOSTA">'[1]INSERÇÃO-DE-DADOS'!$F$11</definedName>
    <definedName name="DATA_DO_ORCAMENTO_ESTIMATIVO">'[1]INSERÇÃO-DE-DADOS'!$F$2</definedName>
    <definedName name="DIAS_AUSENCIAS_LEGAIS">'[2]DADOS-ESTATISTICOS'!$F$27</definedName>
    <definedName name="DIAS_LICENCA_MATERNIDADE">'[2]DADOS-ESTATISTICOS'!$F$33</definedName>
    <definedName name="DIAS_LICENCA_PATERNIDADE">'[2]DADOS-ESTATISTICOS'!$F$28</definedName>
    <definedName name="DIAS_NA_SEMANA">'[2]DADOS-ESTATISTICOS'!$F$5</definedName>
    <definedName name="DIAS_NO_MES">'[2]DADOS-ESTATISTICOS'!$F$22</definedName>
    <definedName name="DIAS_PAGOS_EMPRESA_ACID_TRAB">'[2]DADOS-ESTATISTICOS'!$F$32</definedName>
    <definedName name="DIAS_TRABALHADOS_NO_MES">'[1]INSERÇÃO-DE-DADOS'!$F$43</definedName>
    <definedName name="EMPREG_POR_POSTO">'[1]INSERÇÃO-DE-DADOS'!$E$19</definedName>
    <definedName name="LOCAL_DE_EXECUCAO">'[1]INSERÇÃO-DE-DADOS'!$D$12</definedName>
    <definedName name="MESES_NO_ANO">'[2]DADOS-ESTATISTICOS'!$F$8</definedName>
    <definedName name="MODALIDADE_DE_LICITACAO">'[3]INSERÇÃO-DE-DADOS'!$D$7</definedName>
    <definedName name="NUMERO_MESES_EXEC_CONTRATUAL">'[1]INSERÇÃO-DE-DADOS'!$F$15</definedName>
    <definedName name="NUMERO_PREGAO">'[3]INSERÇÃO-DE-DADOS'!$F$7</definedName>
    <definedName name="NUMERO_PROCESSO">'[3]INSERÇÃO-DE-DADOS'!$D$6</definedName>
    <definedName name="OUTRAS_AUSENCIAS_DESCRICAO">'[1]INSERÇÃO-DE-DADOS'!$C$51</definedName>
    <definedName name="OUTROS_BENEFICIOS_1_DESCRICAO">'[1]INSERÇÃO-DE-DADOS'!$C$44</definedName>
    <definedName name="OUTROS_BENEFICIOS_2">'[1]INSERÇÃO-DE-DADOS'!$F$45</definedName>
    <definedName name="OUTROS_BENEFICIOS_2_DESCRICAO">'[1]INSERÇÃO-DE-DADOS'!$C$45</definedName>
    <definedName name="OUTROS_BENEFICIOS_3">'[1]INSERÇÃO-DE-DADOS'!$F$46</definedName>
    <definedName name="OUTROS_BENEFICIOS_3_DESCRICAO">'[1]INSERÇÃO-DE-DADOS'!$C$46</definedName>
    <definedName name="OUTROS_REMUNERACAO_1">'[1]INSERÇÃO-DE-DADOS'!$F$34</definedName>
    <definedName name="OUTROS_REMUNERACAO_1_DESCRICAO">'[1]INSERÇÃO-DE-DADOS'!$C$34</definedName>
    <definedName name="OUTROS_REMUNERACAO_2">'[1]INSERÇÃO-DE-DADOS'!$F$35</definedName>
    <definedName name="OUTROS_REMUNERACAO_2_DESCRICAO">'[1]INSERÇÃO-DE-DADOS'!$C$35:$E$35</definedName>
    <definedName name="OUTROS_REMUNERACAO_3">'[1]INSERÇÃO-DE-DADOS'!$F$36</definedName>
    <definedName name="OUTROS_REMUNERACAO_3_DESCRICAO">'[1]INSERÇÃO-DE-DADOS'!$C$36:$E$36</definedName>
    <definedName name="PERC_ADIC_INS">'[1]INSERÇÃO-DE-DADOS'!$F$33</definedName>
    <definedName name="PERC_ADIC_NOT">'[1]INSERÇÃO-DE-DADOS'!$F$32</definedName>
    <definedName name="PERC_ADIC_PERIC">'[1]INSERÇÃO-DE-DADOS'!$F$31</definedName>
    <definedName name="PERC_AVISO_PREVIO_TRAB">'[1]ENCARGOS-SOCIAIS-E-TRABALHISTAS'!$E$21</definedName>
    <definedName name="PERC_COFINS">'[1]INSERÇÃO-DE-DADOS'!$F$70</definedName>
    <definedName name="PERC_CUSTOS_INDIRETOS">'[1]INSERÇÃO-DE-DADOS'!$F$67</definedName>
    <definedName name="PERC_EMPREG_AFAST_TRAB">'[2]DADOS-ESTATISTICOS'!$F$31</definedName>
    <definedName name="PERC_EMPREG_AVISO_PREVIO_IND">'[2]DADOS-ESTATISTICOS'!$F$19</definedName>
    <definedName name="PERC_EMPREG_AVISO_PREVIO_TRAB">'[2]DADOS-ESTATISTICOS'!$F$21</definedName>
    <definedName name="PERC_EMPREG_DEMIT_SEM_JUSTA_CAUSA_TOTAL_DESLIG">'[2]DADOS-ESTATISTICOS'!$F$18</definedName>
    <definedName name="PERC_FGTS">'[1]ENCARGOS-SOCIAIS-E-TRABALHISTAS'!$E$16</definedName>
    <definedName name="PERC_GPS_FGTS">'[1]ENCARGOS-SOCIAIS-E-TRABALHISTAS'!$E$17</definedName>
    <definedName name="PERC_HORA_EXTRA">'[1]INSERÇÃO-DE-DADOS'!$F$55</definedName>
    <definedName name="PERC_ISS">'[1]INSERÇÃO-DE-DADOS'!$F$71</definedName>
    <definedName name="PERC_LUCRO">'[1]INSERÇÃO-DE-DADOS'!$F$68</definedName>
    <definedName name="PERC_MULTA_FGTS">'[2]DADOS-ESTATISTICOS'!$F$20</definedName>
    <definedName name="PERC_NASCIDOS_VIVOS_POPUL_FEM">'[2]DADOS-ESTATISTICOS'!$F$29</definedName>
    <definedName name="PERC_PARTIC_FEM_VIGIL">'[2]DADOS-ESTATISTICOS'!$F$34</definedName>
    <definedName name="PERC_PARTIC_MASC_VIGIL">'[2]DADOS-ESTATISTICOS'!$F$30</definedName>
    <definedName name="PERC_PIS">'[1]INSERÇÃO-DE-DADOS'!$F$69</definedName>
    <definedName name="PERC_SUBSTITUTO_OUTRAS_AUSENCIAS">'[1]INSERÇÃO-DE-DADOS'!$F$51</definedName>
    <definedName name="Print_Area" localSheetId="0">'INSTRUÇOES PARA PREENCHIMENTO'!$A$1:$J$20</definedName>
    <definedName name="RAMO">'[1]INSERÇÃO-DE-DADOS'!$B$1</definedName>
    <definedName name="SAL_MINIMO">'[1]INSERÇÃO-DE-DADOS'!$F$25</definedName>
    <definedName name="SALARIO_BASE">'[1]INSERÇÃO-DE-DADOS'!$F$30</definedName>
    <definedName name="TEMPO_INTERVALO_REFEICAO">'[1]INSERÇÃO-DE-DADOS'!$F$56</definedName>
    <definedName name="TRANSPORTE_POR_DIA">'[1]INSERÇÃO-DE-DADOS'!$F$41</definedName>
    <definedName name="UG">'[1]INSERÇÃO-DE-DADOS'!$B$2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38" i="13" l="1"/>
  <c r="D37" i="13"/>
  <c r="D36" i="13"/>
  <c r="D140" i="12"/>
  <c r="C140" i="12"/>
  <c r="A140" i="12"/>
  <c r="E125" i="12"/>
  <c r="E120" i="12"/>
  <c r="E119" i="12"/>
  <c r="E97" i="12"/>
  <c r="E96" i="12"/>
  <c r="E95" i="12"/>
  <c r="E99" i="12" s="1"/>
  <c r="E94" i="12"/>
  <c r="E87" i="12"/>
  <c r="E86" i="12"/>
  <c r="E85" i="12"/>
  <c r="E84" i="12"/>
  <c r="E83" i="12"/>
  <c r="E82" i="12"/>
  <c r="E65" i="12"/>
  <c r="F65" i="12" s="1"/>
  <c r="D65" i="12"/>
  <c r="D63" i="12"/>
  <c r="B63" i="12"/>
  <c r="E59" i="12"/>
  <c r="E46" i="12"/>
  <c r="D140" i="11"/>
  <c r="C140" i="11"/>
  <c r="A140" i="11"/>
  <c r="E125" i="11"/>
  <c r="E120" i="11"/>
  <c r="E119" i="11"/>
  <c r="E97" i="11"/>
  <c r="E96" i="11"/>
  <c r="E95" i="11"/>
  <c r="E94" i="11"/>
  <c r="E99" i="11" s="1"/>
  <c r="E87" i="11"/>
  <c r="E86" i="11"/>
  <c r="E85" i="11"/>
  <c r="E84" i="11"/>
  <c r="E83" i="11"/>
  <c r="E82" i="11"/>
  <c r="D65" i="11"/>
  <c r="D63" i="11"/>
  <c r="B63" i="11"/>
  <c r="E59" i="11"/>
  <c r="E47" i="11"/>
  <c r="E48" i="11" s="1"/>
  <c r="E46" i="11"/>
  <c r="C28" i="11"/>
  <c r="F34" i="11" s="1"/>
  <c r="F41" i="11" s="1"/>
  <c r="E8" i="10"/>
  <c r="F114" i="12" s="1"/>
  <c r="E6" i="10"/>
  <c r="C6" i="10"/>
  <c r="E4" i="10"/>
  <c r="E3" i="10"/>
  <c r="F34" i="9"/>
  <c r="I33" i="9"/>
  <c r="H33" i="9"/>
  <c r="G33" i="9"/>
  <c r="G32" i="9"/>
  <c r="H32" i="9" s="1"/>
  <c r="I32" i="9" s="1"/>
  <c r="G31" i="9"/>
  <c r="H31" i="9" s="1"/>
  <c r="I31" i="9" s="1"/>
  <c r="I30" i="9"/>
  <c r="H30" i="9"/>
  <c r="G30" i="9"/>
  <c r="G29" i="9"/>
  <c r="H29" i="9" s="1"/>
  <c r="F19" i="9"/>
  <c r="H18" i="9"/>
  <c r="I18" i="9" s="1"/>
  <c r="G18" i="9"/>
  <c r="I17" i="9"/>
  <c r="H17" i="9"/>
  <c r="G17" i="9"/>
  <c r="G16" i="9"/>
  <c r="H16" i="9" s="1"/>
  <c r="I16" i="9" s="1"/>
  <c r="H15" i="9"/>
  <c r="I15" i="9" s="1"/>
  <c r="G15" i="9"/>
  <c r="G14" i="9"/>
  <c r="H14" i="9" s="1"/>
  <c r="G10" i="9"/>
  <c r="F10" i="9"/>
  <c r="F23" i="9" s="1"/>
  <c r="I9" i="9"/>
  <c r="H9" i="9"/>
  <c r="G9" i="9"/>
  <c r="G8" i="9"/>
  <c r="H8" i="9" s="1"/>
  <c r="I8" i="9" s="1"/>
  <c r="H7" i="9"/>
  <c r="I7" i="9" s="1"/>
  <c r="G7" i="9"/>
  <c r="G6" i="9"/>
  <c r="H6" i="9" s="1"/>
  <c r="I6" i="9" s="1"/>
  <c r="G5" i="9"/>
  <c r="H5" i="9" s="1"/>
  <c r="I4" i="9"/>
  <c r="H4" i="9"/>
  <c r="G4" i="9"/>
  <c r="D89" i="8"/>
  <c r="G86" i="8"/>
  <c r="G85" i="8"/>
  <c r="G84" i="8"/>
  <c r="G83" i="8"/>
  <c r="G82" i="8"/>
  <c r="G81" i="8"/>
  <c r="G80" i="8"/>
  <c r="G79" i="8"/>
  <c r="G78" i="8"/>
  <c r="G77" i="8"/>
  <c r="G76" i="8"/>
  <c r="G75" i="8"/>
  <c r="G74" i="8"/>
  <c r="G73" i="8"/>
  <c r="G72" i="8"/>
  <c r="G71" i="8"/>
  <c r="G70" i="8"/>
  <c r="G69" i="8"/>
  <c r="G68" i="8"/>
  <c r="G67" i="8"/>
  <c r="G66" i="8"/>
  <c r="G65" i="8"/>
  <c r="G64" i="8"/>
  <c r="G63" i="8"/>
  <c r="G62" i="8"/>
  <c r="G61" i="8"/>
  <c r="G60" i="8"/>
  <c r="G59" i="8"/>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 r="G5" i="8"/>
  <c r="G4" i="8"/>
  <c r="G3" i="8"/>
  <c r="D64" i="7"/>
  <c r="J63" i="7"/>
  <c r="J62" i="7"/>
  <c r="E61" i="7"/>
  <c r="E59" i="7"/>
  <c r="E57" i="7"/>
  <c r="E55" i="7"/>
  <c r="E53" i="7"/>
  <c r="E51" i="7"/>
  <c r="E50" i="7"/>
  <c r="E49" i="7"/>
  <c r="E48" i="7"/>
  <c r="E47" i="7"/>
  <c r="E46" i="7"/>
  <c r="E45" i="7"/>
  <c r="F44" i="7"/>
  <c r="G44" i="7" s="1"/>
  <c r="J44" i="7" s="1"/>
  <c r="E44" i="7"/>
  <c r="E43" i="7"/>
  <c r="E42" i="7"/>
  <c r="E41" i="7"/>
  <c r="F41" i="7" s="1"/>
  <c r="E40" i="7"/>
  <c r="E39" i="7"/>
  <c r="F39" i="7" s="1"/>
  <c r="E38" i="7"/>
  <c r="F38" i="7" s="1"/>
  <c r="G38" i="7" s="1"/>
  <c r="J38" i="7" s="1"/>
  <c r="E37" i="7"/>
  <c r="E36" i="7"/>
  <c r="E35" i="7"/>
  <c r="E34" i="7"/>
  <c r="E33" i="7"/>
  <c r="E32" i="7"/>
  <c r="E31" i="7"/>
  <c r="E30" i="7"/>
  <c r="F30" i="7" s="1"/>
  <c r="E29" i="7"/>
  <c r="E28" i="7"/>
  <c r="E27" i="7"/>
  <c r="E26" i="7"/>
  <c r="E25" i="7"/>
  <c r="E24" i="7"/>
  <c r="E23" i="7"/>
  <c r="F23" i="7" s="1"/>
  <c r="E22" i="7"/>
  <c r="F22" i="7" s="1"/>
  <c r="E21" i="7"/>
  <c r="E20" i="7"/>
  <c r="F20" i="7" s="1"/>
  <c r="E19" i="7"/>
  <c r="E18" i="7"/>
  <c r="E17" i="7"/>
  <c r="F17" i="7" s="1"/>
  <c r="E16" i="7"/>
  <c r="F16" i="7" s="1"/>
  <c r="G16" i="7" s="1"/>
  <c r="J16" i="7" s="1"/>
  <c r="E15" i="7"/>
  <c r="F15" i="7" s="1"/>
  <c r="E14" i="7"/>
  <c r="F14" i="7" s="1"/>
  <c r="E13" i="7"/>
  <c r="E12" i="7"/>
  <c r="E11" i="7"/>
  <c r="E10" i="7"/>
  <c r="E9" i="7"/>
  <c r="E8" i="7"/>
  <c r="F8" i="7" s="1"/>
  <c r="G8" i="7" s="1"/>
  <c r="J8" i="7" s="1"/>
  <c r="E7" i="7"/>
  <c r="E6" i="7"/>
  <c r="F6" i="7" s="1"/>
  <c r="E5" i="7"/>
  <c r="E4" i="7"/>
  <c r="E3" i="7"/>
  <c r="D17" i="6"/>
  <c r="A17" i="6"/>
  <c r="A16" i="6"/>
  <c r="A15" i="6"/>
  <c r="G14" i="6"/>
  <c r="A14" i="6"/>
  <c r="G13" i="6"/>
  <c r="A13" i="6"/>
  <c r="G12" i="6"/>
  <c r="A12" i="6"/>
  <c r="G11" i="6"/>
  <c r="A11" i="6"/>
  <c r="G10" i="6"/>
  <c r="A10" i="6"/>
  <c r="G9" i="6"/>
  <c r="A9" i="6"/>
  <c r="G8" i="6"/>
  <c r="A8" i="6"/>
  <c r="G7" i="6"/>
  <c r="A7" i="6"/>
  <c r="G6" i="6"/>
  <c r="G17" i="6" s="1"/>
  <c r="G19" i="6" s="1"/>
  <c r="A6" i="6"/>
  <c r="G5" i="6"/>
  <c r="A5" i="6"/>
  <c r="G4" i="6"/>
  <c r="A4" i="6"/>
  <c r="G3" i="6"/>
  <c r="A3" i="6"/>
  <c r="J9" i="5"/>
  <c r="K9" i="5" s="1"/>
  <c r="I9" i="5"/>
  <c r="I8" i="5"/>
  <c r="E8" i="5"/>
  <c r="F8" i="5" s="1"/>
  <c r="I7" i="5"/>
  <c r="E7" i="5"/>
  <c r="I6" i="5"/>
  <c r="I5" i="5"/>
  <c r="E5" i="5"/>
  <c r="I4" i="5"/>
  <c r="E4" i="5"/>
  <c r="I3" i="5"/>
  <c r="E3" i="5"/>
  <c r="G3" i="4"/>
  <c r="D56" i="3"/>
  <c r="F46" i="7" s="1"/>
  <c r="G46" i="7" s="1"/>
  <c r="J46" i="7" s="1"/>
  <c r="D48" i="3"/>
  <c r="E60" i="7" s="1"/>
  <c r="D19" i="3"/>
  <c r="C19" i="3"/>
  <c r="B65" i="12" s="1"/>
  <c r="D3" i="3"/>
  <c r="C28" i="12" s="1"/>
  <c r="F34" i="12" s="1"/>
  <c r="C3" i="3"/>
  <c r="A3" i="2"/>
  <c r="A2" i="2"/>
  <c r="A14" i="1"/>
  <c r="A13" i="1"/>
  <c r="A12" i="1"/>
  <c r="A11" i="1"/>
  <c r="A10" i="1"/>
  <c r="A9" i="1"/>
  <c r="A8" i="1"/>
  <c r="A7" i="1"/>
  <c r="A6" i="1"/>
  <c r="A5" i="1"/>
  <c r="A4" i="1"/>
  <c r="A3" i="1"/>
  <c r="E63" i="12" l="1"/>
  <c r="F63" i="12" s="1"/>
  <c r="F72" i="12" s="1"/>
  <c r="F77" i="12" s="1"/>
  <c r="F41" i="12"/>
  <c r="G4" i="7"/>
  <c r="J4" i="7" s="1"/>
  <c r="G12" i="7"/>
  <c r="J12" i="7" s="1"/>
  <c r="I5" i="9"/>
  <c r="I10" i="9" s="1"/>
  <c r="I23" i="9" s="1"/>
  <c r="F111" i="11" s="1"/>
  <c r="F115" i="11" s="1"/>
  <c r="F133" i="11" s="1"/>
  <c r="H10" i="9"/>
  <c r="G25" i="7"/>
  <c r="J25" i="7" s="1"/>
  <c r="G9" i="7"/>
  <c r="J9" i="7" s="1"/>
  <c r="F4" i="7"/>
  <c r="F12" i="7"/>
  <c r="F28" i="7"/>
  <c r="G28" i="7" s="1"/>
  <c r="J28" i="7" s="1"/>
  <c r="F47" i="11"/>
  <c r="G20" i="7"/>
  <c r="J20" i="7" s="1"/>
  <c r="G47" i="7"/>
  <c r="J47" i="7" s="1"/>
  <c r="F59" i="7"/>
  <c r="G59" i="7" s="1"/>
  <c r="J59" i="7" s="1"/>
  <c r="E88" i="11"/>
  <c r="F129" i="11"/>
  <c r="G8" i="5"/>
  <c r="J8" i="5" s="1"/>
  <c r="K8" i="5" s="1"/>
  <c r="G6" i="7"/>
  <c r="J6" i="7" s="1"/>
  <c r="G17" i="7"/>
  <c r="J17" i="7" s="1"/>
  <c r="G22" i="7"/>
  <c r="J22" i="7" s="1"/>
  <c r="G34" i="9"/>
  <c r="F5" i="5"/>
  <c r="G5" i="5" s="1"/>
  <c r="J5" i="5" s="1"/>
  <c r="K5" i="5" s="1"/>
  <c r="F9" i="7"/>
  <c r="F25" i="7"/>
  <c r="F33" i="7"/>
  <c r="G33" i="7" s="1"/>
  <c r="J33" i="7" s="1"/>
  <c r="F36" i="7"/>
  <c r="G36" i="7" s="1"/>
  <c r="J36" i="7" s="1"/>
  <c r="F55" i="7"/>
  <c r="G55" i="7" s="1"/>
  <c r="J55" i="7" s="1"/>
  <c r="G7" i="7"/>
  <c r="J7" i="7" s="1"/>
  <c r="F7" i="7"/>
  <c r="F10" i="7"/>
  <c r="G10" i="7" s="1"/>
  <c r="J10" i="7" s="1"/>
  <c r="F18" i="7"/>
  <c r="G18" i="7" s="1"/>
  <c r="J18" i="7" s="1"/>
  <c r="F26" i="7"/>
  <c r="G26" i="7" s="1"/>
  <c r="J26" i="7" s="1"/>
  <c r="F31" i="7"/>
  <c r="G31" i="7" s="1"/>
  <c r="J31" i="7" s="1"/>
  <c r="F34" i="7"/>
  <c r="G34" i="7" s="1"/>
  <c r="J34" i="7" s="1"/>
  <c r="F42" i="7"/>
  <c r="G42" i="7" s="1"/>
  <c r="J42" i="7" s="1"/>
  <c r="F47" i="7"/>
  <c r="F50" i="7"/>
  <c r="G50" i="7" s="1"/>
  <c r="J50" i="7" s="1"/>
  <c r="G53" i="7"/>
  <c r="J53" i="7" s="1"/>
  <c r="F60" i="7"/>
  <c r="G60" i="7" s="1"/>
  <c r="J60" i="7" s="1"/>
  <c r="E63" i="11"/>
  <c r="F63" i="11" s="1"/>
  <c r="E88" i="12"/>
  <c r="G14" i="7"/>
  <c r="J14" i="7" s="1"/>
  <c r="G30" i="7"/>
  <c r="J30" i="7" s="1"/>
  <c r="G41" i="7"/>
  <c r="J41" i="7" s="1"/>
  <c r="G49" i="7"/>
  <c r="J49" i="7" s="1"/>
  <c r="F49" i="7"/>
  <c r="F7" i="5"/>
  <c r="G7" i="5" s="1"/>
  <c r="J7" i="5" s="1"/>
  <c r="K7" i="5" s="1"/>
  <c r="G15" i="7"/>
  <c r="J15" i="7" s="1"/>
  <c r="G39" i="7"/>
  <c r="J39" i="7" s="1"/>
  <c r="H3" i="4"/>
  <c r="I3" i="4" s="1"/>
  <c r="K3" i="4" s="1"/>
  <c r="F42" i="13" s="1"/>
  <c r="F4" i="5"/>
  <c r="G4" i="5" s="1"/>
  <c r="J4" i="5" s="1"/>
  <c r="K4" i="5" s="1"/>
  <c r="G5" i="7"/>
  <c r="J5" i="7" s="1"/>
  <c r="G21" i="7"/>
  <c r="J21" i="7" s="1"/>
  <c r="G29" i="7"/>
  <c r="J29" i="7" s="1"/>
  <c r="G45" i="7"/>
  <c r="J45" i="7" s="1"/>
  <c r="F53" i="7"/>
  <c r="I14" i="9"/>
  <c r="I19" i="9" s="1"/>
  <c r="H19" i="9"/>
  <c r="I29" i="9"/>
  <c r="I34" i="9" s="1"/>
  <c r="F111" i="12" s="1"/>
  <c r="H34" i="9"/>
  <c r="G23" i="7"/>
  <c r="J23" i="7" s="1"/>
  <c r="F5" i="7"/>
  <c r="F13" i="7"/>
  <c r="G13" i="7" s="1"/>
  <c r="J13" i="7" s="1"/>
  <c r="F21" i="7"/>
  <c r="F24" i="7"/>
  <c r="G24" i="7" s="1"/>
  <c r="J24" i="7" s="1"/>
  <c r="F29" i="7"/>
  <c r="F32" i="7"/>
  <c r="G32" i="7" s="1"/>
  <c r="J32" i="7" s="1"/>
  <c r="F37" i="7"/>
  <c r="G37" i="7" s="1"/>
  <c r="J37" i="7" s="1"/>
  <c r="F40" i="7"/>
  <c r="G40" i="7" s="1"/>
  <c r="J40" i="7" s="1"/>
  <c r="F45" i="7"/>
  <c r="F48" i="7"/>
  <c r="G48" i="7" s="1"/>
  <c r="J48" i="7" s="1"/>
  <c r="F57" i="7"/>
  <c r="G57" i="7" s="1"/>
  <c r="J57" i="7" s="1"/>
  <c r="G89" i="8"/>
  <c r="F91" i="8" s="1"/>
  <c r="F112" i="12" s="1"/>
  <c r="B65" i="11"/>
  <c r="E47" i="12"/>
  <c r="E48" i="12" s="1"/>
  <c r="G3" i="7"/>
  <c r="G19" i="7"/>
  <c r="J19" i="7" s="1"/>
  <c r="G27" i="7"/>
  <c r="J27" i="7" s="1"/>
  <c r="F61" i="7"/>
  <c r="G61" i="7"/>
  <c r="J61" i="7" s="1"/>
  <c r="F46" i="11"/>
  <c r="F48" i="11" s="1"/>
  <c r="F75" i="11" s="1"/>
  <c r="G3" i="5"/>
  <c r="J3" i="5" s="1"/>
  <c r="F3" i="5"/>
  <c r="F3" i="7"/>
  <c r="F11" i="7"/>
  <c r="G11" i="7" s="1"/>
  <c r="J11" i="7" s="1"/>
  <c r="F19" i="7"/>
  <c r="F27" i="7"/>
  <c r="F35" i="7"/>
  <c r="G35" i="7" s="1"/>
  <c r="J35" i="7" s="1"/>
  <c r="F43" i="7"/>
  <c r="G43" i="7" s="1"/>
  <c r="J43" i="7" s="1"/>
  <c r="F51" i="7"/>
  <c r="G51" i="7" s="1"/>
  <c r="J51" i="7" s="1"/>
  <c r="G19" i="9"/>
  <c r="G23" i="9" s="1"/>
  <c r="E6" i="5"/>
  <c r="E52" i="7"/>
  <c r="E64" i="7" s="1"/>
  <c r="E54" i="7"/>
  <c r="E56" i="7"/>
  <c r="E58" i="7"/>
  <c r="F54" i="7" l="1"/>
  <c r="G54" i="7" s="1"/>
  <c r="F51" i="11"/>
  <c r="F55" i="11"/>
  <c r="F58" i="7"/>
  <c r="G58" i="7" s="1"/>
  <c r="J58" i="7" s="1"/>
  <c r="F56" i="7"/>
  <c r="F64" i="7" s="1"/>
  <c r="F57" i="11"/>
  <c r="F87" i="11"/>
  <c r="E65" i="11"/>
  <c r="F65" i="11" s="1"/>
  <c r="F72" i="11" s="1"/>
  <c r="F77" i="11" s="1"/>
  <c r="F52" i="7"/>
  <c r="G52" i="7"/>
  <c r="J52" i="7" s="1"/>
  <c r="F54" i="11"/>
  <c r="F6" i="5"/>
  <c r="G6" i="5" s="1"/>
  <c r="J6" i="5" s="1"/>
  <c r="F86" i="11"/>
  <c r="F115" i="12"/>
  <c r="F133" i="12" s="1"/>
  <c r="F82" i="11"/>
  <c r="F88" i="11" s="1"/>
  <c r="F131" i="11" s="1"/>
  <c r="J3" i="7"/>
  <c r="F85" i="11"/>
  <c r="F52" i="11"/>
  <c r="F58" i="11"/>
  <c r="F53" i="11"/>
  <c r="F56" i="11"/>
  <c r="K3" i="5"/>
  <c r="F83" i="11"/>
  <c r="F84" i="11"/>
  <c r="H23" i="9"/>
  <c r="F85" i="12"/>
  <c r="F57" i="12"/>
  <c r="F47" i="12"/>
  <c r="F54" i="12"/>
  <c r="F46" i="12"/>
  <c r="F48" i="12" s="1"/>
  <c r="F75" i="12" s="1"/>
  <c r="F129" i="12"/>
  <c r="F87" i="12"/>
  <c r="F82" i="12"/>
  <c r="K6" i="5" l="1"/>
  <c r="J10" i="5"/>
  <c r="E46" i="13" s="1"/>
  <c r="J54" i="7"/>
  <c r="K10" i="5"/>
  <c r="F46" i="13" s="1"/>
  <c r="G56" i="7"/>
  <c r="J56" i="7" s="1"/>
  <c r="J64" i="7" s="1"/>
  <c r="F53" i="12"/>
  <c r="F55" i="12"/>
  <c r="F84" i="12"/>
  <c r="F59" i="11"/>
  <c r="F76" i="11" s="1"/>
  <c r="F78" i="11" s="1"/>
  <c r="F83" i="12"/>
  <c r="F88" i="12" s="1"/>
  <c r="F131" i="12" s="1"/>
  <c r="F52" i="12"/>
  <c r="F58" i="12"/>
  <c r="F56" i="12"/>
  <c r="F86" i="12"/>
  <c r="F51" i="12"/>
  <c r="F50" i="13" l="1"/>
  <c r="J67" i="7"/>
  <c r="E50" i="13" s="1"/>
  <c r="F59" i="12"/>
  <c r="F76" i="12" s="1"/>
  <c r="F78" i="12" s="1"/>
  <c r="F130" i="11"/>
  <c r="F94" i="11"/>
  <c r="F93" i="11"/>
  <c r="F98" i="11"/>
  <c r="F95" i="11"/>
  <c r="F97" i="11"/>
  <c r="F96" i="11"/>
  <c r="G64" i="7"/>
  <c r="F99" i="11" l="1"/>
  <c r="F105" i="11" s="1"/>
  <c r="F107" i="11" s="1"/>
  <c r="F132" i="11" s="1"/>
  <c r="F134" i="11" s="1"/>
  <c r="F130" i="12"/>
  <c r="F93" i="12"/>
  <c r="F94" i="12"/>
  <c r="F96" i="12"/>
  <c r="F98" i="12"/>
  <c r="F97" i="12"/>
  <c r="F95" i="12"/>
  <c r="F119" i="11" l="1"/>
  <c r="F99" i="12"/>
  <c r="F105" i="12" s="1"/>
  <c r="F107" i="12" s="1"/>
  <c r="F132" i="12" s="1"/>
  <c r="F134" i="12" s="1"/>
  <c r="F119" i="12" l="1"/>
  <c r="F120" i="11"/>
  <c r="F122" i="11" s="1"/>
  <c r="F120" i="12" l="1"/>
  <c r="F123" i="12" s="1"/>
  <c r="F124" i="11"/>
  <c r="F122" i="12"/>
  <c r="F123" i="11"/>
  <c r="F125" i="11" s="1"/>
  <c r="F135" i="11" s="1"/>
  <c r="F136" i="11" s="1"/>
  <c r="B140" i="11" s="1"/>
  <c r="F124" i="12"/>
  <c r="C36" i="13" l="1"/>
  <c r="E140" i="11"/>
  <c r="F140" i="11" s="1"/>
  <c r="F125" i="12"/>
  <c r="F135" i="12" s="1"/>
  <c r="F136" i="12" s="1"/>
  <c r="B140" i="12" s="1"/>
  <c r="E140" i="12" l="1"/>
  <c r="F140" i="12" s="1"/>
  <c r="C37" i="13"/>
  <c r="E37" i="13" s="1"/>
  <c r="F37" i="13" s="1"/>
  <c r="E36" i="13"/>
  <c r="F36" i="13" l="1"/>
  <c r="E38" i="13"/>
  <c r="C54" i="13" l="1"/>
  <c r="F38" i="13"/>
  <c r="E54"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0A00-000004000000}">
      <text>
        <r>
          <rPr>
            <sz val="10"/>
            <rFont val="Arial"/>
            <family val="2"/>
          </rPr>
          <t xml:space="preserve">Base de cálculo do salário-base contido na:
- Convenção Coletiva de Trabalho 2025/2026
- Anexo I
- Item 14
Registrada no MTE sob o número: PA000133/2025
Referencial Técnico de Custos – AUDIN/MPU – 4ª Edição
MÓDULO 1 – COMPOSIÇÃO DA REMUNERAÇÃO
Alínea 1.A. - Salário Base
</t>
        </r>
      </text>
    </comment>
    <comment ref="F35" authorId="0" shapeId="0" xr:uid="{00000000-0006-0000-0A00-000005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0A00-000006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0A00-000007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0A00-000008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0A00-000009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0A00-00000A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0A00-00000B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A00-00000C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A00-00000D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A00-00000E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A00-00000F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A00-000010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F56" authorId="0" shapeId="0" xr:uid="{00000000-0006-0000-0A00-000011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A00-000012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A00-000013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A00-000014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0A00-000015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0A00-000016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0A00-000017000000}">
      <text>
        <r>
          <rPr>
            <sz val="10"/>
            <rFont val="Arial"/>
            <family val="2"/>
          </rPr>
          <t xml:space="preserve">Cláusula 47ª, caput, da CCT 2024/2025. 
</t>
        </r>
      </text>
    </comment>
    <comment ref="F82" authorId="0" shapeId="0" xr:uid="{00000000-0006-0000-0A00-000018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A00-000019000000}">
      <text>
        <r>
          <rPr>
            <sz val="10"/>
            <rFont val="Arial"/>
            <family val="2"/>
          </rPr>
          <t xml:space="preserve">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
</t>
        </r>
        <r>
          <rPr>
            <sz val="9"/>
            <color rgb="FF000000"/>
            <rFont val="Segoe UI"/>
            <family val="2"/>
            <charset val="1"/>
          </rPr>
          <t xml:space="preserve">
</t>
        </r>
      </text>
    </comment>
    <comment ref="F84" authorId="0" shapeId="0" xr:uid="{00000000-0006-0000-0A00-00001A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r>
          <rPr>
            <sz val="9"/>
            <color rgb="FF000000"/>
            <rFont val="Segoe UI"/>
            <family val="2"/>
            <charset val="1"/>
          </rPr>
          <t xml:space="preserve">
</t>
        </r>
      </text>
    </comment>
    <comment ref="E85" authorId="0" shapeId="0" xr:uid="{00000000-0006-0000-0A00-000002000000}">
      <text>
        <r>
          <rPr>
            <sz val="10"/>
            <rFont val="Arial"/>
            <family val="2"/>
          </rPr>
          <t xml:space="preserve">[(56,24%) x 94,45% x (7/30) /12] x 100 = 1,03%
</t>
        </r>
      </text>
    </comment>
    <comment ref="F85" authorId="0" shapeId="0" xr:uid="{00000000-0006-0000-0A00-00001B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r>
          <rPr>
            <sz val="9"/>
            <color rgb="FF000000"/>
            <rFont val="Segoe UI"/>
            <family val="2"/>
            <charset val="1"/>
          </rPr>
          <t xml:space="preserve">
</t>
        </r>
      </text>
    </comment>
    <comment ref="F86" authorId="0" shapeId="0" xr:uid="{00000000-0006-0000-0A00-00001C000000}">
      <text>
        <r>
          <rPr>
            <sz val="10"/>
            <rFont val="Arial"/>
            <family val="2"/>
          </rPr>
          <t>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t>
        </r>
      </text>
    </comment>
    <comment ref="F87" authorId="0" shapeId="0" xr:uid="{00000000-0006-0000-0A00-00001D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A00-000003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A00-00001E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text>
    </comment>
    <comment ref="F94" authorId="0" shapeId="0" xr:uid="{00000000-0006-0000-0A00-00001F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9"/>
            <color rgb="FF000000"/>
            <rFont val="Segoe UI"/>
            <family val="2"/>
            <charset val="1"/>
          </rPr>
          <t xml:space="preserve">
</t>
        </r>
      </text>
    </comment>
    <comment ref="F95" authorId="0" shapeId="0" xr:uid="{00000000-0006-0000-0A00-000020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r>
          <rPr>
            <sz val="9"/>
            <color rgb="FF000000"/>
            <rFont val="Segoe UI"/>
            <family val="2"/>
            <charset val="1"/>
          </rPr>
          <t xml:space="preserve">
</t>
        </r>
      </text>
    </comment>
    <comment ref="F96" authorId="0" shapeId="0" xr:uid="{00000000-0006-0000-0A00-000021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r>
          <rPr>
            <sz val="9"/>
            <color rgb="FF000000"/>
            <rFont val="Segoe UI"/>
            <family val="2"/>
            <charset val="1"/>
          </rPr>
          <t xml:space="preserve">
</t>
        </r>
      </text>
    </comment>
    <comment ref="F97" authorId="0" shapeId="0" xr:uid="{00000000-0006-0000-0A00-000022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9"/>
            <color rgb="FF000000"/>
            <rFont val="Segoe UI"/>
            <family val="2"/>
            <charset val="1"/>
          </rPr>
          <t xml:space="preserve">
</t>
        </r>
      </text>
    </comment>
    <comment ref="F98" authorId="0" shapeId="0" xr:uid="{00000000-0006-0000-0A00-000023000000}">
      <text>
        <r>
          <rPr>
            <sz val="10"/>
            <rFont val="Arial"/>
            <family val="2"/>
          </rPr>
          <t xml:space="preserve">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
</t>
        </r>
      </text>
    </comment>
    <comment ref="F102" authorId="0" shapeId="0" xr:uid="{00000000-0006-0000-0A00-000024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0A00-000025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0A00-000026000000}">
      <text>
        <r>
          <rPr>
            <sz val="10"/>
            <rFont val="Arial"/>
            <family val="2"/>
          </rPr>
          <t xml:space="preserve">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text>
    </comment>
    <comment ref="F113" authorId="0" shapeId="0" xr:uid="{00000000-0006-0000-0A00-000027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t>
        </r>
        <r>
          <rPr>
            <sz val="9"/>
            <color rgb="FF000000"/>
            <rFont val="Segoe UI"/>
            <family val="2"/>
            <charset val="1"/>
          </rPr>
          <t xml:space="preserve">
</t>
        </r>
        <r>
          <rPr>
            <b/>
            <sz val="9"/>
            <color rgb="FF000000"/>
            <rFont val="Segoe UI"/>
            <family val="2"/>
            <charset val="1"/>
          </rPr>
          <t>Vide subplanilha Material Permanente - MP.</t>
        </r>
      </text>
    </comment>
    <comment ref="A117" authorId="0" shapeId="0" xr:uid="{00000000-0006-0000-0A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A00-000028000000}">
      <text>
        <r>
          <rPr>
            <sz val="10"/>
            <rFont val="Arial"/>
            <family val="2"/>
          </rPr>
          <t xml:space="preserve">Base de Cálculo dos Custos Indiretos:
- Referencial Técnico de Custos – Audin-MPU – 4ª Edição:
- MÓDULO 6 – CUSTOS INDIRETOS, TRIBUTOS E LUCRO:
Percentuais
- 4,73% 
- Fórmula: [(Módulo 1 + Módulo 2 + Módulo 3 + Módulo 4 + Módulo 5) x Custos Indiretos %]
</t>
        </r>
      </text>
    </comment>
    <comment ref="F120" authorId="0" shapeId="0" xr:uid="{00000000-0006-0000-0A00-000029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A00-00002A000000}">
      <text>
        <r>
          <rPr>
            <sz val="10"/>
            <rFont val="Arial"/>
            <family val="2"/>
          </rPr>
          <t xml:space="preserve">-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A00-00002B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A00-00002C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C26" authorId="0" shapeId="0" xr:uid="{00000000-0006-0000-0B00-000003000000}">
      <text>
        <r>
          <rPr>
            <sz val="10"/>
            <rFont val="Arial"/>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text>
    </comment>
    <comment ref="F34" authorId="0" shapeId="0" xr:uid="{00000000-0006-0000-0B00-000007000000}">
      <text>
        <r>
          <rPr>
            <sz val="10"/>
            <rFont val="Arial"/>
            <family val="2"/>
          </rPr>
          <t>Base de cálculo do salário-base contido na:
- Convenção Coletiva de Trabalho 2025/2026
- Anexo I
- Item 22
Registrada no MTE sob o número: PA000133/2025
Referencial Técnico de Custos – AUDIN/MPU – 4ª Edição
MÓDULO 1 – COMPOSIÇÃO DA REMUNERAÇÃO
Alínea 1.A. - Salário Base
Posto com dois serviços agregados: Serviços de Limpeza e Conservação + Copeiragem, sendo o principal de limpeza e conservação</t>
        </r>
      </text>
    </comment>
    <comment ref="F35" authorId="0" shapeId="0" xr:uid="{00000000-0006-0000-0B00-000008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0B00-000009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0B00-00000A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0B00-00000B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0B00-00000C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0B00-00000D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0B00-00000E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B00-00000F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B00-000010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B00-000011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B00-000012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B00-000013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0B00-000004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0B00-000014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B00-000015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B00-000016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B00-000017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0B00-000018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0B00-000019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0B00-00001A000000}">
      <text>
        <r>
          <rPr>
            <sz val="10"/>
            <rFont val="Arial"/>
            <family val="2"/>
          </rPr>
          <t xml:space="preserve">Cláusula 47ª, caput, da CCT 2024/2025. 
</t>
        </r>
      </text>
    </comment>
    <comment ref="A80" authorId="0" shapeId="0" xr:uid="{00000000-0006-0000-0B00-000001000000}">
      <text>
        <r>
          <rPr>
            <sz val="10"/>
            <rFont val="Arial"/>
            <family val="2"/>
          </rPr>
          <t xml:space="preserve">OBSERVAÇÃO
Ao fim do primeiro ano do contrato, o custo com 30 dias de aviso prévio indenizado, previsto na Alínea 3.A, já terá sido completamente pago pela Administração contratante. Assim sendo, após a primeira prorrogação, deverão ser retirados os custos referentes aos percentuais iniciais da planilha de custos e formação de preços, podendo, nessa ocasião, ser incluídos os índices correspondentes a 3/30 ou 1/10 (10%) desse percentual, ou seja, 0,029%, para serviços de vigilância e 0,026% para serviços de limpeza e conservação a cada ano de prorrogação, não cumulativos, isto é, no caso de um segundo ano de prorrogação, o percentual será o mesmo do primeiro ano (10%)
e não 20% do percentual previsto inicialmente na planilha. 
O mesmo ocorre com o aviso prévio trabalhado, previsto na Alínea 3.D, que poderá ter a inclusão, a partir do 1º
ano de prorrogação, dos percentuais de 0,116% e de 0,103%, para serviços de vigilância e de limpeza e conservação, respectivamente. Pelas mesmas razões acima descritas, as Alíneas 3.B e 3.E também sofrem a redução para 1/10 a partir da prorrogação, da mesma forma que as Alíneas 3.A e 3.D, por serem considerados custos não renováveis.
</t>
        </r>
      </text>
    </comment>
    <comment ref="F82" authorId="0" shapeId="0" xr:uid="{00000000-0006-0000-0B00-00001B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B00-00001C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B00-00001D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B00-000005000000}">
      <text>
        <r>
          <rPr>
            <sz val="10"/>
            <rFont val="Arial"/>
            <family val="2"/>
          </rPr>
          <t xml:space="preserve">[(56,24%) x 94,45% x (7/30) /12] x 100 = 1,03%
</t>
        </r>
      </text>
    </comment>
    <comment ref="F85" authorId="0" shapeId="0" xr:uid="{00000000-0006-0000-0B00-00001E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B00-00001F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B00-000020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B00-000006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B00-000021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0B00-000022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0B00-000023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0B00-000024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0B00-000025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0B00-000026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0B00-000027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0B00-000028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0B00-000029000000}">
      <text>
        <r>
          <rPr>
            <sz val="10"/>
            <rFont val="Arial"/>
            <family val="2"/>
          </rPr>
          <t>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subplanilhas MLHCC - Ônus da Contratada + MLPH
Material de Limpeza e Produtos de Higienização de Copa e Cozinha
                                              +
Material de Limpeza e Produtos de Higienização</t>
        </r>
      </text>
    </comment>
    <comment ref="F113" authorId="0" shapeId="0" xr:uid="{00000000-0006-0000-0B00-00002A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Material Permanente - MP
</t>
        </r>
        <r>
          <rPr>
            <sz val="10"/>
            <rFont val="Arial"/>
            <family val="2"/>
            <charset val="1"/>
          </rPr>
          <t xml:space="preserve">
</t>
        </r>
      </text>
    </comment>
    <comment ref="F114" authorId="0" shapeId="0" xr:uid="{00000000-0006-0000-0B00-00002B000000}">
      <text>
        <r>
          <rPr>
            <sz val="10"/>
            <rFont val="Arial"/>
            <family val="2"/>
          </rPr>
          <t xml:space="preserve">Vide subplanilha Equipamento e Proteção Individual - EPI's - LC
</t>
        </r>
      </text>
    </comment>
    <comment ref="A117" authorId="0" shapeId="0" xr:uid="{00000000-0006-0000-0B00-000002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B00-00002C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0B00-00002D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B00-00002E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B00-00002F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B00-000030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sharedStrings.xml><?xml version="1.0" encoding="utf-8"?>
<sst xmlns="http://schemas.openxmlformats.org/spreadsheetml/2006/main" count="1131" uniqueCount="538">
  <si>
    <t>NOMENCLATURA DAS PLANILHAS</t>
  </si>
  <si>
    <t>Item</t>
  </si>
  <si>
    <t>Sigla</t>
  </si>
  <si>
    <t>Nome</t>
  </si>
  <si>
    <t>NP</t>
  </si>
  <si>
    <t>Nomenclatura das Planilhas</t>
  </si>
  <si>
    <t>PC</t>
  </si>
  <si>
    <t>Postos a Serem contratados</t>
  </si>
  <si>
    <t>Salários.VA.VT.QteDias.LDI.T</t>
  </si>
  <si>
    <t>Referências de salários - Conforme CCTs + Vale-Alimentação + Vale-Transporte + Quantidade de Dias de VA e VT + LDI + Tributos</t>
  </si>
  <si>
    <t>Gás</t>
  </si>
  <si>
    <t>Aquisição de Recargas de Gás Liquefeito de Petróleo</t>
  </si>
  <si>
    <t>GA</t>
  </si>
  <si>
    <t>Gêneros de Alimentação</t>
  </si>
  <si>
    <t>MLHCC - Ônus da Contratada</t>
  </si>
  <si>
    <t>Material de Limpeza e Produtos de Higienização da Copa e Cozinha</t>
  </si>
  <si>
    <t>MCC - Sob Demanda</t>
  </si>
  <si>
    <t>Material de Copa e Cozinha</t>
  </si>
  <si>
    <t>MLPH</t>
  </si>
  <si>
    <t>Material de Limpeza e Produtos de Higienização</t>
  </si>
  <si>
    <t>Unif</t>
  </si>
  <si>
    <t>Uniformes</t>
  </si>
  <si>
    <t>EPIs – LC</t>
  </si>
  <si>
    <t>EPIs - Limpeza e Conservação</t>
  </si>
  <si>
    <t>AAII</t>
  </si>
  <si>
    <t>Auxiliar Administrativo II</t>
  </si>
  <si>
    <t>SL</t>
  </si>
  <si>
    <t>Servente de Limpeza</t>
  </si>
  <si>
    <t>POSTOS</t>
  </si>
  <si>
    <t>Limpeza e Conservação</t>
  </si>
  <si>
    <t>CONVENÇÃO COLETIVA / SALÁRIO NORMATIVO VIGENTE PARA CONTRATAÇÃO E/OU REPACTUAÇÃO DE PREÇOS</t>
  </si>
  <si>
    <t>Postos</t>
  </si>
  <si>
    <t>Convenção Coletiva</t>
  </si>
  <si>
    <t>2025/2026</t>
  </si>
  <si>
    <t>2026/2027</t>
  </si>
  <si>
    <t>2027/2028</t>
  </si>
  <si>
    <t>2028/2029</t>
  </si>
  <si>
    <t>2029/2030</t>
  </si>
  <si>
    <t>2030/2031</t>
  </si>
  <si>
    <t>2031/2032</t>
  </si>
  <si>
    <t>2032/2033</t>
  </si>
  <si>
    <t>2033/2034</t>
  </si>
  <si>
    <t>2034/2035</t>
  </si>
  <si>
    <t>PERÍODO</t>
  </si>
  <si>
    <t>VALE-ALIMENTAÇÃO</t>
  </si>
  <si>
    <t>VALE-TRANSPORTE</t>
  </si>
  <si>
    <t>Contratação</t>
  </si>
  <si>
    <t>Alteração</t>
  </si>
  <si>
    <t>QUANTIDADE DE DIAS</t>
  </si>
  <si>
    <t>TODOS OS POSTOS</t>
  </si>
  <si>
    <t>Lucro e Despesas Indiretas - LDI</t>
  </si>
  <si>
    <t>Custos Indiretos</t>
  </si>
  <si>
    <t xml:space="preserve">Lucro </t>
  </si>
  <si>
    <t>Total</t>
  </si>
  <si>
    <t>Tributação Sobre Faturamento - T - Lucro Presumido</t>
  </si>
  <si>
    <t>PIS</t>
  </si>
  <si>
    <t>COFIN</t>
  </si>
  <si>
    <t>ISS</t>
  </si>
  <si>
    <t>GÁS E OUTROS MATERIAIS ENGARRAFADOS – 3.3.90.30.04</t>
  </si>
  <si>
    <t>Insumo</t>
  </si>
  <si>
    <t>Unidade de Media</t>
  </si>
  <si>
    <t>Quantidade Mensal</t>
  </si>
  <si>
    <t>Quantidade Anual</t>
  </si>
  <si>
    <t>Valor Nominal por unidade</t>
  </si>
  <si>
    <t>LDI</t>
  </si>
  <si>
    <t>T</t>
  </si>
  <si>
    <t>Valor Máximo  Aceito por Unidade</t>
  </si>
  <si>
    <t>Valor Mensal</t>
  </si>
  <si>
    <t>Valor Anual</t>
  </si>
  <si>
    <t>Recarga de Gás Liquefeito de Petróleo</t>
  </si>
  <si>
    <t>Botijão P13</t>
  </si>
  <si>
    <t>GÊNEROS ALIMENTÍCIOS – 3.3.90.30.07</t>
  </si>
  <si>
    <t>Unidade de Medida</t>
  </si>
  <si>
    <t>Valor Total Mensal</t>
  </si>
  <si>
    <t>Valor Total Anual</t>
  </si>
  <si>
    <t xml:space="preserve">Açúcar Cristal </t>
  </si>
  <si>
    <t>Pacote - 01 kg</t>
  </si>
  <si>
    <t>Adoçante dietético -</t>
  </si>
  <si>
    <t>Frasco - 100 ml</t>
  </si>
  <si>
    <t xml:space="preserve">Água - Recarga de água </t>
  </si>
  <si>
    <t>Garrafa - 20 litros</t>
  </si>
  <si>
    <t>Café em Pó - Torrado e Moído</t>
  </si>
  <si>
    <t>Pacote - 250 g</t>
  </si>
  <si>
    <t>Chá - Diversos Sabores</t>
  </si>
  <si>
    <t>Pacote - 10 sachês</t>
  </si>
  <si>
    <t>Leite em pó</t>
  </si>
  <si>
    <t>Pacote - 200 gramas</t>
  </si>
  <si>
    <t>TOTAL</t>
  </si>
  <si>
    <t>MATERIAL DE COPA E COZINHA – 3.3.90.30.21 – SOB DEMANDA</t>
  </si>
  <si>
    <t>Objeto</t>
  </si>
  <si>
    <t>Valor Unitário</t>
  </si>
  <si>
    <t>Não se aplica</t>
  </si>
  <si>
    <t>Detergente Desengordurante Multiuso</t>
  </si>
  <si>
    <t>Frasco de 500 ml</t>
  </si>
  <si>
    <t>Detergente Líquido para Lavar Louças</t>
  </si>
  <si>
    <t>Esponja para limpeza/lavar louças</t>
  </si>
  <si>
    <t>Unidade</t>
  </si>
  <si>
    <t>Limpa alumínio</t>
  </si>
  <si>
    <t>Palha/lã de aço</t>
  </si>
  <si>
    <t>Pacote com 08 unidades</t>
  </si>
  <si>
    <t>Pano de chão</t>
  </si>
  <si>
    <t>Pano de prato</t>
  </si>
  <si>
    <t>Saco para Acondicionamento de Lixo – 30 litros</t>
  </si>
  <si>
    <t xml:space="preserve"> Pacote com 10 sacos</t>
  </si>
  <si>
    <t xml:space="preserve">Saco para Acondicionamento de Lixo – 100 litros </t>
  </si>
  <si>
    <t xml:space="preserve">Papel para Cozinha </t>
  </si>
  <si>
    <t>Pacote com 02 rolos</t>
  </si>
  <si>
    <t>Papel toalha</t>
  </si>
  <si>
    <t xml:space="preserve"> Fardo de 1000 folhas divido em pacote de 250 folhas</t>
  </si>
  <si>
    <t>Sabão em pó</t>
  </si>
  <si>
    <t xml:space="preserve"> Pacote de 500 gramas</t>
  </si>
  <si>
    <t>Valor Mensal Aproximado</t>
  </si>
  <si>
    <t>Não se Aplica</t>
  </si>
  <si>
    <t>Valor Total Estimado Anual</t>
  </si>
  <si>
    <t>Açucareiro com Colher - Inox</t>
  </si>
  <si>
    <t>x</t>
  </si>
  <si>
    <t>Adaptador Para Garrafa Térmica (Funil Plástico)</t>
  </si>
  <si>
    <t>Bandeja em Aço Inox (30 cm) - Inox</t>
  </si>
  <si>
    <t>Bandeja em Aço Inox (40 cm) - Inox</t>
  </si>
  <si>
    <t xml:space="preserve">Bandeja de Plástico </t>
  </si>
  <si>
    <t>Capa para Galão/Garrfa de 20 Litros</t>
  </si>
  <si>
    <t>Coador de Pano - Café - Tamanho GG</t>
  </si>
  <si>
    <t>Colher Bailarina - Inox</t>
  </si>
  <si>
    <t>Colher de Arroz - Inox</t>
  </si>
  <si>
    <t>Colher de Chá - Inox</t>
  </si>
  <si>
    <t>Colher de Mesa - Para Refeição - Inox</t>
  </si>
  <si>
    <t>Colher de Silicone - Cabo Longo</t>
  </si>
  <si>
    <t>Colher de Sobremesa - Inox</t>
  </si>
  <si>
    <t xml:space="preserve">Concha de Alumínio </t>
  </si>
  <si>
    <t>Conjunto de Potes Para Mantimentos - Inox</t>
  </si>
  <si>
    <t>Conjunto</t>
  </si>
  <si>
    <t>Copo de Vidro - 300 ml</t>
  </si>
  <si>
    <t xml:space="preserve">Copo Descartável de 50 ml </t>
  </si>
  <si>
    <t>Pacote</t>
  </si>
  <si>
    <t>Copo Descartável - 100 ml</t>
  </si>
  <si>
    <t>Copo Descartável - 180 ml</t>
  </si>
  <si>
    <t>Copo Descartável - 200 ml</t>
  </si>
  <si>
    <t>Descanso Para Copo - Inox</t>
  </si>
  <si>
    <t>Dispensador Compacto Para Papel Toalha</t>
  </si>
  <si>
    <t>Escorredor - Inox</t>
  </si>
  <si>
    <t>Escova Para Limpeza de Garrafas Térmicas</t>
  </si>
  <si>
    <t>Espátula Para Cortar Bolo - Inox</t>
  </si>
  <si>
    <t xml:space="preserve">Frigideira </t>
  </si>
  <si>
    <t>Faca de Mesa - Inox</t>
  </si>
  <si>
    <t xml:space="preserve">Faca Para Cozinha </t>
  </si>
  <si>
    <t>Faca de Sobremesa - Inox</t>
  </si>
  <si>
    <t>Filtro de Papel nº 103</t>
  </si>
  <si>
    <t>Garfo de Mesa - Inox</t>
  </si>
  <si>
    <t xml:space="preserve">Unidade </t>
  </si>
  <si>
    <t>Garfo de Sobremesa - Inox</t>
  </si>
  <si>
    <t>Garrafa Térmica - 1,8 l - Inox</t>
  </si>
  <si>
    <t>Garrafa Térmica - 2,5 l - Inox</t>
  </si>
  <si>
    <t xml:space="preserve">Garrafa Térmica - 10 litros </t>
  </si>
  <si>
    <t>Guardanapo de Papel</t>
  </si>
  <si>
    <t xml:space="preserve">Guardanapo de Tecido </t>
  </si>
  <si>
    <t xml:space="preserve">Isqueiro </t>
  </si>
  <si>
    <t xml:space="preserve">Jarra de Plástico de 02 litros </t>
  </si>
  <si>
    <t>Jarra Para Água - Com Tampa - Inox</t>
  </si>
  <si>
    <t>Jogo Americano</t>
  </si>
  <si>
    <t>Jogo</t>
  </si>
  <si>
    <t xml:space="preserve">Leiteira / Canecão de Alumínio </t>
  </si>
  <si>
    <t>Porta Sabão/Detergente Líquido/Esponja</t>
  </si>
  <si>
    <t xml:space="preserve">Panela Caçarola nº 30 </t>
  </si>
  <si>
    <t>Prato de Jantar - Louça - 28 cm</t>
  </si>
  <si>
    <t>Prato Descatável - 21 cm</t>
  </si>
  <si>
    <t>Prato Para Sobremesa - Louça - 19 cm</t>
  </si>
  <si>
    <t xml:space="preserve">Pano para Limpeza de Prato (Algodão) </t>
  </si>
  <si>
    <t>Rodo de Limpeza de Pia</t>
  </si>
  <si>
    <t>Suporte Para Filtro de Coador de Café nº 103</t>
  </si>
  <si>
    <t>Suporte Para Talheres - Inox</t>
  </si>
  <si>
    <t>Taça - Vidro - 250 ml</t>
  </si>
  <si>
    <t>Tábua de Madeira Para Cozinha </t>
  </si>
  <si>
    <t>Talher Descatável - Kit - (Colher, Garfo e Faca - Pacote com 10 unidades )</t>
  </si>
  <si>
    <t>Toalha de Bandeja</t>
  </si>
  <si>
    <t xml:space="preserve">Tapete de Porta de Entrada </t>
  </si>
  <si>
    <t>Xícara com Pires Para Café - 50 ml - Louça</t>
  </si>
  <si>
    <t>Xícara com Pires Para Café - 100 ml - Porcelana</t>
  </si>
  <si>
    <t>Xícara com Pires Para Café - 200 ml - Porcelana</t>
  </si>
  <si>
    <t>MATERIAL DE LIMPEZA E PRODUTOS DE HIGINIZAÇÃO – 3.3.90.30.22 – ÔNUSA DA CONTRATADA</t>
  </si>
  <si>
    <t>Água sanitária</t>
  </si>
  <si>
    <t>Galão de 05 litros</t>
  </si>
  <si>
    <t>Álcool comum 70%</t>
  </si>
  <si>
    <t>Frasco de 01 litro</t>
  </si>
  <si>
    <t>Álcool em gel 70%</t>
  </si>
  <si>
    <t>Álcool líquido isopropílico</t>
  </si>
  <si>
    <t>Anti mofo</t>
  </si>
  <si>
    <t xml:space="preserve">Frasco com 400 ml </t>
  </si>
  <si>
    <t>Balde de plástico</t>
  </si>
  <si>
    <t>Balde para MOP úmido</t>
  </si>
  <si>
    <t>Cabo para MOP /vassoura em alumínio reforçado</t>
  </si>
  <si>
    <t>Capturador de odores</t>
  </si>
  <si>
    <t>Revitalizador de Plástico</t>
  </si>
  <si>
    <t>Cesto organizador com tampa</t>
  </si>
  <si>
    <t>Corda de nylon</t>
  </si>
  <si>
    <t>Pacote com uma corda de 10 m</t>
  </si>
  <si>
    <t>Desentupidor de pia sanfonado em borracha</t>
  </si>
  <si>
    <t>Desentupidor de vaso sanitário</t>
  </si>
  <si>
    <t>Desinfetante líquido para banheiro</t>
  </si>
  <si>
    <t>Desodorizador de ar – aerossol – ambiente</t>
  </si>
  <si>
    <t>Dispensador compacto para papel toalha</t>
  </si>
  <si>
    <t>Dispensador compacto para sabonete líquido / álcool em gel para mãos</t>
  </si>
  <si>
    <t>Dispenser para copos descartáveis</t>
  </si>
  <si>
    <t>Escova Espanadeira</t>
  </si>
  <si>
    <t>Escova manual</t>
  </si>
  <si>
    <t>Escova multiuso</t>
  </si>
  <si>
    <t>Escova para limpeza de cantos</t>
  </si>
  <si>
    <t>Escova para limpeza de vasos sanitários – com suporte</t>
  </si>
  <si>
    <t>Esponja de limpeza dupla face</t>
  </si>
  <si>
    <t>Extensão elétrica – 10 m</t>
  </si>
  <si>
    <t>Extensão elétrica – 20 m</t>
  </si>
  <si>
    <t>Fibra para limpeza pesada</t>
  </si>
  <si>
    <t>Flanela</t>
  </si>
  <si>
    <t>Impermeabilizante auto brilhante</t>
  </si>
  <si>
    <t>Inseticida aerossol</t>
  </si>
  <si>
    <t>Kit rodo combinado para limpeza de vidros</t>
  </si>
  <si>
    <t>Limpa metais</t>
  </si>
  <si>
    <t>Limpa vidro</t>
  </si>
  <si>
    <t>Limpador ácido para pisos cerâmicos</t>
  </si>
  <si>
    <t>Limpador bactericida para limpeza de couro, carpete, estofados</t>
  </si>
  <si>
    <t>Limpador multiuso</t>
  </si>
  <si>
    <t>Limpador saponáceo</t>
  </si>
  <si>
    <t>Lixeira – 100 l</t>
  </si>
  <si>
    <t>Lixeira – 12 l</t>
  </si>
  <si>
    <t>Lixeira – 15 l</t>
  </si>
  <si>
    <t>Lixeira – 50 l</t>
  </si>
  <si>
    <t>Lustra móveis</t>
  </si>
  <si>
    <t>Luva de látex multiuso</t>
  </si>
  <si>
    <t>Par</t>
  </si>
  <si>
    <t>Luva de látex natural</t>
  </si>
  <si>
    <t>Mangueira para jardim</t>
  </si>
  <si>
    <t>MOP abrasivo</t>
  </si>
  <si>
    <t>MOP água – em algodão</t>
  </si>
  <si>
    <t>MOP articulado flat</t>
  </si>
  <si>
    <t>Naftalina</t>
  </si>
  <si>
    <t>Pacote de 01 kg</t>
  </si>
  <si>
    <t>Óleo protetivo para inox</t>
  </si>
  <si>
    <t>Litro</t>
  </si>
  <si>
    <t>Pá coletora de lixo</t>
  </si>
  <si>
    <t>Pano multiuso</t>
  </si>
  <si>
    <t>Pano para limpeza de chão</t>
  </si>
  <si>
    <t xml:space="preserve">Papel higiênico - rolo - 300 metros </t>
  </si>
  <si>
    <t>Fardo com 12 unidades</t>
  </si>
  <si>
    <t>Papel higiênico</t>
  </si>
  <si>
    <t>Papel toalha interfoliado</t>
  </si>
  <si>
    <t>Fardo</t>
  </si>
  <si>
    <t>Pastilha adesiva sanitária</t>
  </si>
  <si>
    <t>Caixa com 03 unidades</t>
  </si>
  <si>
    <t>Pedra sanitária / desodorizador sanitário</t>
  </si>
  <si>
    <t>Unidade de 25 gramas</t>
  </si>
  <si>
    <t>Placa Sinalizadora de Chão - Banheiro em Manutenção</t>
  </si>
  <si>
    <t>Placa sinalizadora de chão – piso molhado</t>
  </si>
  <si>
    <t>Protetor de vaso sanitário descartável</t>
  </si>
  <si>
    <t>Dispenser com 50 unidades</t>
  </si>
  <si>
    <t>Pulverizador/borrifador plástico</t>
  </si>
  <si>
    <t>Refil MOP abrasivo</t>
  </si>
  <si>
    <t>Refil MOP água – em algodão</t>
  </si>
  <si>
    <t>Refil MOP articulado flat</t>
  </si>
  <si>
    <t>Rodo para piso</t>
  </si>
  <si>
    <t>Refil MOP giratório</t>
  </si>
  <si>
    <t>Pacote de 500 g</t>
  </si>
  <si>
    <t>Sabão geleia</t>
  </si>
  <si>
    <t>Sabão neutro - em barra</t>
  </si>
  <si>
    <t>Barra Unitária</t>
  </si>
  <si>
    <t>Sabonete líquido – espuma</t>
  </si>
  <si>
    <t>Saco para acondicionamento de lixo - 030 litros</t>
  </si>
  <si>
    <t>Pacote com 10 unidades</t>
  </si>
  <si>
    <t>Saco para acondicionamento de lixo - 050 litros</t>
  </si>
  <si>
    <t>Saco para acondicionamento de lixo - 100 litros</t>
  </si>
  <si>
    <t>Suporte para vassouras</t>
  </si>
  <si>
    <t>Touca higiênica descartável</t>
  </si>
  <si>
    <t>Caixa com 50 unidades</t>
  </si>
  <si>
    <t>Vaselina líquida</t>
  </si>
  <si>
    <t>Garrafa</t>
  </si>
  <si>
    <t>Vassoura de nylon</t>
  </si>
  <si>
    <t>Vassoura de pelo</t>
  </si>
  <si>
    <t>Vassoura grande</t>
  </si>
  <si>
    <t>Vassoura limpa teto</t>
  </si>
  <si>
    <t>Vassoura multiuso</t>
  </si>
  <si>
    <t>Vassoura piaçava</t>
  </si>
  <si>
    <t>UNIFORMES, TECIDOS E AVIAMENTOS – 3.3.90.30.23</t>
  </si>
  <si>
    <t>Auxiliar Administrativo II - Masculino</t>
  </si>
  <si>
    <t>Descrição</t>
  </si>
  <si>
    <t>Quantidade de Pessoas por Posto</t>
  </si>
  <si>
    <t>Quantidade de Peças por Pessoa</t>
  </si>
  <si>
    <t>Periodicidade ao Ano Para Reposição</t>
  </si>
  <si>
    <t>Preço Unitário da Peça</t>
  </si>
  <si>
    <t>Preço Unitário Anual por Pessoa das Peças</t>
  </si>
  <si>
    <t>Preço Total do Posto das Peças</t>
  </si>
  <si>
    <t>Valor Mensal Para Compor Custo da Planilha de Formação de Preços</t>
  </si>
  <si>
    <t xml:space="preserve">Calças sociais preta, azul-marinho ou da cor padrão da empresa,confeccionada em tecido algodão, sob medida; </t>
  </si>
  <si>
    <t xml:space="preserve">Camisas social branca ou da cor padrão da empresa, com manga curta, confeccionada com no mínimo 50% em algodão; </t>
  </si>
  <si>
    <t xml:space="preserve">Pares de meias social de algodão ou poliéster, da cor da calça; </t>
  </si>
  <si>
    <t xml:space="preserve">Pares de sapatos social preto de couro natural ou sintético; </t>
  </si>
  <si>
    <t>Cintos social de 01 (uma) face da cor dos sapatos, em couro natural ou sintético;</t>
  </si>
  <si>
    <t>Jaqueta de moletom na cor preta ou azul marinho;</t>
  </si>
  <si>
    <t>Auxiliar Administrativo II - Feminino</t>
  </si>
  <si>
    <t>Blusas sociais feminina branca ou da cor padrão da empresa, confeccionada em tecido algodão e poliester, com mangas curtas, abertura na frente (para vestir ou desvestir) em toda extensão, com 05 (cinco) ou 06 (seis) botões na cor do tecido em casas verticais e 2(dois) pences na frente e atrás, e bainha de overlock em todas as partes desfiantes do tecido;</t>
  </si>
  <si>
    <t>Calças sociais, da mesma cor do preta ou azul, confeccionada em tecido Oxford 100% poliéster, de 1ª qualidade, sob medida, sem prega, com cós, frente com zíper com 12cm, de nylon fino comum, com braguilha, com 01(um) botão no cós para fechamento na cor do tecido e bainha em overlock em todas as partes desfiantes do tecido;</t>
  </si>
  <si>
    <t>Pares de meias soquete (cano médio) social, tecido fino, de cor natural;</t>
  </si>
  <si>
    <t>Pares de sapatos social fechado, modelo scarpin, com salto médio ou baixo, preto, em couro natural ou sintético e solado em micro sola antiderrapante;</t>
  </si>
  <si>
    <t>Jaqueta de moletom na cor da empresa.</t>
  </si>
  <si>
    <t>Auxiliar Administrativo II - Masculino e Feminino</t>
  </si>
  <si>
    <t>Todos</t>
  </si>
  <si>
    <t>Todos os itens acima</t>
  </si>
  <si>
    <t>Serventes de Limpeza e Conservação - Unisex</t>
  </si>
  <si>
    <t>Calças compridas em brim, tecido 100% algodão</t>
  </si>
  <si>
    <t>Camisas de mangas curtas em tecido 100% algodão com emblema da empresa pintado</t>
  </si>
  <si>
    <t>Calçados, ocupacional tipo sapato, confeccionado em EVA na cor preta, com solado de borracha antiderrapante, registrado junto ao CA do Ministério do Trabalho na Classificação SRC (referência: Modelo SOFTWORKS - Ref. BB65 ou equivalente</t>
  </si>
  <si>
    <t>Pares de meias, de 55% a 78% em algodão, tipo meião para proteger a perna de possíveis
assaduras</t>
  </si>
  <si>
    <t>Par de botas emborrachadas, tipo galocha, de PVC, cano curto, cor preta, solado antiderrapante e com uma pequena elevação no calcanhar para melhor conforto</t>
  </si>
  <si>
    <t>EQUIPAMENTOS DE PROTEÇÃO E SEGURANÇA DE SERVENTES DE LIMPEZA E CONSERVAÇÃO - ENCARGO DA CONTRATADA</t>
  </si>
  <si>
    <t>Descrição dos Materiais</t>
  </si>
  <si>
    <t>Máscara de Proteção</t>
  </si>
  <si>
    <t>Óculos de Proteção</t>
  </si>
  <si>
    <t>DADOS REFERENTES À LICITAÇÃO</t>
  </si>
  <si>
    <t>Nº do Processo</t>
  </si>
  <si>
    <t>PGEA:  1.23.000.000176/2024-97</t>
  </si>
  <si>
    <t>Modalidade de Licitação nº NN/AAAA</t>
  </si>
  <si>
    <t>Pregão Eletrônico nº NN/AAAA</t>
  </si>
  <si>
    <t>DISCRIMINAÇÃO DOS SERVIÇOS</t>
  </si>
  <si>
    <t>Data de apresentação da proposta (dia/mês/ano)</t>
  </si>
  <si>
    <t>DD/MM/AAAA</t>
  </si>
  <si>
    <t>Município/UF de Execução dos Serviços</t>
  </si>
  <si>
    <t>Redenção</t>
  </si>
  <si>
    <t>Ano Acordo, Convenção ou Sentença Normativa em Dissídio Coletivo</t>
  </si>
  <si>
    <r>
      <rPr>
        <b/>
        <sz val="8"/>
        <color rgb="FF000000"/>
        <rFont val="Times New Roman"/>
        <family val="1"/>
        <charset val="1"/>
      </rPr>
      <t xml:space="preserve">CONVENÇÃO COLETIVA DE TRABALHO:  </t>
    </r>
    <r>
      <rPr>
        <b/>
        <sz val="8"/>
        <color rgb="FF00B0F0"/>
        <rFont val="Times New Roman"/>
        <family val="1"/>
        <charset val="1"/>
      </rPr>
      <t>2025/2026</t>
    </r>
  </si>
  <si>
    <r>
      <rPr>
        <b/>
        <sz val="8"/>
        <color rgb="FF000000"/>
        <rFont val="Times New Roman"/>
        <family val="1"/>
        <charset val="1"/>
      </rPr>
      <t xml:space="preserve">NÚMERO DE REGISTRO NO MTE:  </t>
    </r>
    <r>
      <rPr>
        <b/>
        <sz val="8"/>
        <color rgb="FF00B0F0"/>
        <rFont val="Times New Roman"/>
        <family val="1"/>
        <charset val="1"/>
      </rPr>
      <t>PA000133/2025</t>
    </r>
  </si>
  <si>
    <r>
      <rPr>
        <b/>
        <sz val="8"/>
        <color rgb="FF000000"/>
        <rFont val="Times New Roman"/>
        <family val="1"/>
        <charset val="1"/>
      </rPr>
      <t xml:space="preserve">DATA DE REGISTRO NO MTE:  </t>
    </r>
    <r>
      <rPr>
        <b/>
        <sz val="8"/>
        <color rgb="FF00B0F0"/>
        <rFont val="Times New Roman"/>
        <family val="1"/>
        <charset val="1"/>
      </rPr>
      <t>06/03/2025</t>
    </r>
  </si>
  <si>
    <t>Nº de meses de execução contratual</t>
  </si>
  <si>
    <t>IDENTIFICAÇÃO DO SERVIÇO</t>
  </si>
  <si>
    <t>Unidade de medida</t>
  </si>
  <si>
    <t>Posto</t>
  </si>
  <si>
    <t>Quantidade total a contratar (em função da unidade de medida):</t>
  </si>
  <si>
    <t>MÃO DE OBRA VINCULADA À EXECUÇÃO CONTRATUAL</t>
  </si>
  <si>
    <t>Dados para composição dos custos referentes a mão de obra</t>
  </si>
  <si>
    <t>Tipo de Serviço (mesmo serviço com características distintas)</t>
  </si>
  <si>
    <t>Classificação Brasileira de Ocupações (CBO)</t>
  </si>
  <si>
    <t>4110-05 - Auxiliar de escritório</t>
  </si>
  <si>
    <t>Salário Normativo da Categoria Profissional</t>
  </si>
  <si>
    <t>Categoria Profissional (vinculada à execução contratual)</t>
  </si>
  <si>
    <t>Asseio, Conservação, Trabalho temporário e Serviços Terceirizáveis</t>
  </si>
  <si>
    <t>Data-Base da Categoria (dia/mês/ano)</t>
  </si>
  <si>
    <t>1º/01/2025</t>
  </si>
  <si>
    <t>PLANILHA DE CUSTOS E FORMAÇÃO DE PREÇOS</t>
  </si>
  <si>
    <t>1 – DA COMPOSIÇÃO DA REMUNERAÇÃO</t>
  </si>
  <si>
    <t>Discriminação</t>
  </si>
  <si>
    <t>Valor R$</t>
  </si>
  <si>
    <t>A</t>
  </si>
  <si>
    <t>Salário Base</t>
  </si>
  <si>
    <t>B</t>
  </si>
  <si>
    <t>Adicional de periculosidade</t>
  </si>
  <si>
    <t>C</t>
  </si>
  <si>
    <t>Adicional de insalubridade</t>
  </si>
  <si>
    <t>D</t>
  </si>
  <si>
    <t>Adicional noturno</t>
  </si>
  <si>
    <t>E</t>
  </si>
  <si>
    <t>Adicional de hora noturna reduzida</t>
  </si>
  <si>
    <t>F</t>
  </si>
  <si>
    <t>Adicional de Hora Extra no Feriado Trabalhado</t>
  </si>
  <si>
    <t>G</t>
  </si>
  <si>
    <t>Outros (especificar)</t>
  </si>
  <si>
    <t>Total Módulo 1</t>
  </si>
  <si>
    <t>MÓDULO 2 – DOS ENCARGOS E BENEFÍCIOS ANUAIS, MENSAIS E DIÁRIOS</t>
  </si>
  <si>
    <t> Submódulo 2.1 - 13º Salário, Férias e Adicional de Férias</t>
  </si>
  <si>
    <t>2.1.</t>
  </si>
  <si>
    <t>13º Salário e Adicional de Férias</t>
  </si>
  <si>
    <t>Percentual (%)</t>
  </si>
  <si>
    <t>13º Salário</t>
  </si>
  <si>
    <t>Adicional de Férias</t>
  </si>
  <si>
    <t>Subtotal Módulo 2.1</t>
  </si>
  <si>
    <t>Submódulo 2.2 - Encargos Previdenciários (GPS), Fundo de Garantia por Tempo de Serviço (FGTS) e outras contribuições</t>
  </si>
  <si>
    <t>2.2.</t>
  </si>
  <si>
    <t>Encargos Previdenciários (GPS), FGTS e outras contribuições</t>
  </si>
  <si>
    <t>INSS</t>
  </si>
  <si>
    <t>Salário Educação</t>
  </si>
  <si>
    <t>Riscos Ambientais do Trabalho</t>
  </si>
  <si>
    <t>SESC</t>
  </si>
  <si>
    <t>SENAC</t>
  </si>
  <si>
    <t>SEBRAE</t>
  </si>
  <si>
    <t>INCRA</t>
  </si>
  <si>
    <t>H</t>
  </si>
  <si>
    <t>FGTS</t>
  </si>
  <si>
    <t>Subtotal Módulo 2.2</t>
  </si>
  <si>
    <t>Submódulo 2.3 - Benefícios Mensais e Diários</t>
  </si>
  <si>
    <t>2.3.</t>
  </si>
  <si>
    <t>Benefícios Mensais e Diários</t>
  </si>
  <si>
    <t>Valor da Passagem</t>
  </si>
  <si>
    <t>Quantidade de Passagens</t>
  </si>
  <si>
    <t>Quantidade de Dias</t>
  </si>
  <si>
    <t>Desconto</t>
  </si>
  <si>
    <t>Valor diário do auxílio-alimentação</t>
  </si>
  <si>
    <t>Seguro de vida em grupo - Assistência funeral/familiar - Assistência Médica e Familiar</t>
  </si>
  <si>
    <t>Auxílio plano de assistência e cuidado pessoal</t>
  </si>
  <si>
    <t>Subtotal Módulo 2.3</t>
  </si>
  <si>
    <t>Quadro-Resumo do Módulo 2 - Encargos e Benefícios anuais, mensais e diários</t>
  </si>
  <si>
    <t>2.</t>
  </si>
  <si>
    <t>Encargos e Benefícios Anuais, Mensais e Diários</t>
  </si>
  <si>
    <t>13º Salário, Férias e Adicional de Férias</t>
  </si>
  <si>
    <t>Encargos Previdenciários (GPS), Fundo de Garantia por Tempo de Serviço (FGTS) e outras contribuições</t>
  </si>
  <si>
    <t>Total Módulo 2</t>
  </si>
  <si>
    <t>MÓDULO 3 – DA PROVISÃO PARA RESCISÃO</t>
  </si>
  <si>
    <t>Provisão para Rescisão</t>
  </si>
  <si>
    <t>Aviso Prévio Indenizado</t>
  </si>
  <si>
    <t>Incidência do FGTS sobre o Aviso Prévio Indenizado</t>
  </si>
  <si>
    <t>Multa do FGTS do Aviso Prévio Indenizado</t>
  </si>
  <si>
    <t>Aviso Prévio Trabalhado</t>
  </si>
  <si>
    <t>Incidência dos Encargos do Submódulo 2.2 sobre o Aviso Prévio Trabalhado</t>
  </si>
  <si>
    <t>Multa do FGTS do Aviso Prévio Trabalhado</t>
  </si>
  <si>
    <t>Total Módulo 3</t>
  </si>
  <si>
    <t>MÓDULO 4 – DO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</si>
  <si>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</si>
  <si>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</si>
  <si>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</si>
  <si>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</si>
  <si>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</si>
  <si>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</si>
  <si>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</si>
  <si>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</si>
  <si>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</si>
  <si>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Subtotal Módulo 4.1</t>
  </si>
  <si>
    <t>Submódulo 4.2 - Substituto na Intrajornada</t>
  </si>
  <si>
    <t>4.2</t>
  </si>
  <si>
    <t>Substituto na Intrajornada </t>
  </si>
  <si>
    <t>Substituto na cobertura de Intervalo para repouso ou alimentação</t>
  </si>
  <si>
    <t>%</t>
  </si>
  <si>
    <t>Quadro-Resumo do Módulo 4 - Custo de Reposição do Profissional Ausente</t>
  </si>
  <si>
    <t>4.</t>
  </si>
  <si>
    <t>Custo de Reposição do Profissional Ausente</t>
  </si>
  <si>
    <t>Total Módulo 4</t>
  </si>
  <si>
    <t>MÓDULO 5 – DOS INSUMOS DIVERSOS</t>
  </si>
  <si>
    <t>Insumos Diversos</t>
  </si>
  <si>
    <t>Materiais</t>
  </si>
  <si>
    <t>Equipamentos</t>
  </si>
  <si>
    <t>Outros (Especificar)</t>
  </si>
  <si>
    <t>Total Módulo 5</t>
  </si>
  <si>
    <t>MÓDULO 6 – CUSTOS INDIRETOS, TRIBUTOS E LUCROS</t>
  </si>
  <si>
    <t>Custo Indireto e Lucro</t>
  </si>
  <si>
    <t>Custo Indireto</t>
  </si>
  <si>
    <t>Lucro</t>
  </si>
  <si>
    <t>Tributos</t>
  </si>
  <si>
    <t>Cofins</t>
  </si>
  <si>
    <t>Total Módulo 6</t>
  </si>
  <si>
    <t>QUADRO-RESUMO DO CUSTO POR EMPREGADO</t>
  </si>
  <si>
    <t>Da Soma dos Módulos</t>
  </si>
  <si>
    <t>Módulo 1 – Da Composição da Remuneração</t>
  </si>
  <si>
    <t>Módulo 2 – Dos Encargos e Benefícios Anuais, Mensais e Diários</t>
  </si>
  <si>
    <t>Módulo 3 – Da Provisão Para Rescisão</t>
  </si>
  <si>
    <t>Módulo 4 – Do Custo de Reposição do Profissional Ausente</t>
  </si>
  <si>
    <t>Módulo 5 – Dos Insumos Diversos</t>
  </si>
  <si>
    <t>Subtotal (A + B + C + D + E)</t>
  </si>
  <si>
    <t>Módulo 6 – Custos Indiretos, Tributos e Lucro</t>
  </si>
  <si>
    <t>Valor Total por Empregado</t>
  </si>
  <si>
    <t>QUADRO-RESUMO DO VALOR MENSAL DOS SERVIÇOS</t>
  </si>
  <si>
    <t>Tipo de Serviço</t>
  </si>
  <si>
    <t>Valor Mensal por Pessoa</t>
  </si>
  <si>
    <t>Quantidade de meses</t>
  </si>
  <si>
    <t>Valor total mensal</t>
  </si>
  <si>
    <t>PGEA: 1.23.000.000176/2024-97</t>
  </si>
  <si>
    <t>Serventes de Limpeza e Conservação</t>
  </si>
  <si>
    <t>5143-20 - Serviços de Limpeza e Conservação</t>
  </si>
  <si>
    <t> Submódulo 2.1 - 13º Salário e Adicional de Férias</t>
  </si>
  <si>
    <t>Incidência dos encargos do submódulo 2.2 sobre o Aviso Prévio Trabalhado</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</si>
  <si>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</si>
  <si>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</si>
  <si>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</si>
  <si>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</si>
  <si>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</si>
  <si>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</si>
  <si>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</si>
  <si>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Equipamentos - Depreciação de Material Permanente não reversível ao patrimônio Público</t>
  </si>
  <si>
    <t>Outros - Equipamaento de Proteção e Segurança - EPI</t>
  </si>
  <si>
    <t>Ao Senhor Pregoeiro da Procuradoria da República - Pará/Castanhal</t>
  </si>
  <si>
    <t xml:space="preserve">Proposta de Preços </t>
  </si>
  <si>
    <t>Pregão Eletrônico nº XX/2024</t>
  </si>
  <si>
    <t>Processo nº 1.23.000.000176/2024-97</t>
  </si>
  <si>
    <t>O(A) representante da Sociedade Empresária XXX LTDA vem submeter à apreciação de Vossa Senhoria proposta de preços de prestação de serviços de mão de obra terceirizada residente dos seguintes postos: Auxiliar Administrativo II e Servente de Limpeza c/c Copeiragem, com fornecimento de insumos necessários à execução dos serviços de limpeza e conservação, bem como de insumos, sob demanda de gás liquefeito de petróleo, gêneros de alimentação, material de copa e cozinha e material permanente.</t>
  </si>
  <si>
    <t>Dados da Sociedade Proponente</t>
  </si>
  <si>
    <t>Razão Social do Licitante</t>
  </si>
  <si>
    <t>CNPJ</t>
  </si>
  <si>
    <t>Endereço</t>
  </si>
  <si>
    <t>E-mails</t>
  </si>
  <si>
    <t>Telefones:</t>
  </si>
  <si>
    <t>Domicílio Bancário</t>
  </si>
  <si>
    <t xml:space="preserve">Nome do Banco: </t>
  </si>
  <si>
    <t>Número do Banco:</t>
  </si>
  <si>
    <t>Número da Agência:</t>
  </si>
  <si>
    <t>Número da Conta Credora:</t>
  </si>
  <si>
    <t>Dados do(a) Administrador(a)/Representante Legal</t>
  </si>
  <si>
    <t>Nome:</t>
  </si>
  <si>
    <t>Identificação:</t>
  </si>
  <si>
    <t>Número do RG:</t>
  </si>
  <si>
    <t>Órgão Expedidor do RG:</t>
  </si>
  <si>
    <t>Número do CPF:</t>
  </si>
  <si>
    <t>O(A) Administrador(a) Representante Legal Declara que:</t>
  </si>
  <si>
    <t>A validade da proposta é de 90 (NOVENTA) dias, contados a partir do dia subsequente ao da efetiva abertura das propostas;</t>
  </si>
  <si>
    <t>Tem condições para realizar os serviços objeto do Termo de Referência;</t>
  </si>
  <si>
    <t>Recebeu todos os elementos e informações para cumprimento das obrigações objeto da licitação e aceita expressamente as condições dispostas no ato convocatório;</t>
  </si>
  <si>
    <t>Sob as penas da Lei, nesta data, não existem fatos impeditivos à participação desta empresa no presente processo licitatório, estando ciente integralmente dos requisitos de Habilitação do Pregão Eletrônico nº XX/2024, conforme Edital;</t>
  </si>
  <si>
    <t>Nos valores constantes desta proposta estão incluídas todas as despesas relativas ao objeto, tais como: mão de 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</si>
  <si>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Para fins do disposto no art. 7º, inciso XXXIII, da Constituição Federal de 1988, esta empresa não emprega menor de 18 (dezoito) anos em trabalho noturno, perigoso ou insalubre, bem como menor de 16 (dezesseis) anos, salvo na condição de aprendiz, a partir de 14 (quatorze) anos;</t>
  </si>
  <si>
    <t>A presente proposta foi elaborada de maneira independente por esta empresa, e que o conteúdo desta proposta não foi, no todo ou em parte, direta ou indiretamente, informado, discutido com ou recebido de qualquer outro participante potencial ou de fato do Pregão Eletrônico nº XX/2024, por qualquer meio ou por qualquer pessoa;</t>
  </si>
  <si>
    <t xml:space="preserve">Que a Convenção Coletiva de Trabalho adotada para elaboração das Planilhas foram as de número: </t>
  </si>
  <si>
    <t>I</t>
  </si>
  <si>
    <t>Que o regime tributário da proponente é com base no lucro XXXX</t>
  </si>
  <si>
    <t>J</t>
  </si>
  <si>
    <t>Caso nos seja adjudicado o objeto da licitação, comprometemos a assinar o contrato no prazo determinado do Edital e para esse fim fornecemos todos os dados da empresa e de seu representante;</t>
  </si>
  <si>
    <t>K</t>
  </si>
  <si>
    <t>Tem pleno conhecimento das condições e peculiaridades inerentes à natureza do trabalho, que assume total responsabilidade por este fato e que não utilizará deste para quaisquer questionamentos futuros que ensejam avenças técnicas ou financeiras com este (órgão ou entidade)</t>
  </si>
  <si>
    <t>L</t>
  </si>
  <si>
    <t>Que se submete inteiramente a todas as condições do Edital;</t>
  </si>
  <si>
    <t>I - Do Preço da Mão de Obra Terceirizada Residente - Inclusos os Valores dos Materiais de Limpeza e Produtos de Higienização + Uniformes</t>
  </si>
  <si>
    <t>Profissionais Residentes</t>
  </si>
  <si>
    <t>Valor Mensal por Posto</t>
  </si>
  <si>
    <t>Valor Anual por Posto</t>
  </si>
  <si>
    <t>AUXILIAR ADMINISTRATIVO II</t>
  </si>
  <si>
    <t>SERVENTE DE LIMPEZA</t>
  </si>
  <si>
    <t>TOTAL ITEM I</t>
  </si>
  <si>
    <t>II - Do Preço Global dsa Recargas de Gás Liquefeito de Petróleo - Gás de Cozinha - Sob Demanda</t>
  </si>
  <si>
    <t>Recarga de Gás Liquefeito de Petróleo - Botijão P13</t>
  </si>
  <si>
    <t xml:space="preserve">Valor Mensal </t>
  </si>
  <si>
    <t>Valor</t>
  </si>
  <si>
    <t>III - Do Preço Global dos Gêneros de Alimentação - Sob Demanda</t>
  </si>
  <si>
    <t>Gênros Alimentícios: Café, Açúcar, Leite, Adocante e outros</t>
  </si>
  <si>
    <t>IV - Do Preço Global de Materiais de Copa e Cozinha - Sob Demanda</t>
  </si>
  <si>
    <t>Materiais de Copa e Cozinha: Xícara, copo, guardanapo, colher, outros</t>
  </si>
  <si>
    <t>PREÇO TOTAL DA PROPOSTA</t>
  </si>
  <si>
    <t>Valor Total dos Itens I + II + III + IV + V</t>
  </si>
  <si>
    <t>VALOR TOTAL</t>
  </si>
  <si>
    <t>PREGÃO ELETRÔNICO Nº 90002/2025 – UASG 200075</t>
  </si>
  <si>
    <t>ANEXO II – MODELO DE PROPOSTA E PLANILHA DE CUSTOS E FORMAÇÃO DO VALOR ESTIMADO</t>
  </si>
  <si>
    <t>A PROPOSTA DA LICITANTE DEVE ATENDER TODAS AS CONDIÇÕES EXIGIDAS NO EDITAL, CONFORME MODELO DESTA PLANILHA.</t>
  </si>
  <si>
    <t>A PLANILHA DE CUSTOS E FORMAÇÃO DE PREÇOS (EM FORMATO EDITÁVEL) DEVE SER ENCAMINHADA COMO ANEXO DE PROPOSTA PELO PORTAL DE COMPRAS, SE FOR O CASO, AJUSTADA PELO LICITANTE APÓS SOLICITAÇÃO DO PREGOEIRO PARA ADEQUAÇÃO AO LANCE FINAL / VALOR NEGOCIADO OU SANEAMENTO.</t>
  </si>
  <si>
    <t xml:space="preserve">O LICITANTE DEVE INFORMAR QUAL ACORDO, CONVENÇÃO COLETIVA OU SENTENÇA NORMATIVA QUE BASEIA SUA PROPOSTA DE PREÇOS, INDICANDO OS SINDICATOS. </t>
  </si>
  <si>
    <t>PARA O LICITANTE COMPOR A SUA PLANILHA, BASTA PREENCHER AS CÉLULAS AMARELAS. DESSA FORMA, AS ABAS DA PLANILHA SÃO ATUALIZADAS AUTOMATICAMENTE.</t>
  </si>
  <si>
    <t>O CABEÇALHO ENCONTRA-SE DESBLOQUEADO PARA POSSIBILITAR IDENTIFICAÇÃO/PERSONALIZAÇÃO PELO LICITANTE.</t>
  </si>
  <si>
    <t xml:space="preserve">PARA FORMAÇÃO DO VALOR ESTIMADO DA CONTRATAÇÃO, A ADMINISTRAÇÃO TOMOU POR BASE AS CONVENÇÕES COLETIVAS DE TRABALHO CITADAS NO TERMO DE REFERÊNCIA </t>
  </si>
  <si>
    <t>A METODOLOGIA DE  CÁLCULO DA PLANILHA DO VALOR ESTIMADO DA CONTRATAÇÃO SEGUIU ORIENTAÇÕES DA IN SEGES/MP N° 5/2017 E DO REFERENCIAL TÉCNICO DA AUDIN/MPU DISPONÍVEL EM: https://auditoria.mpu.mp.br/orientacao/terceirizacao/referencial-tecnico-de-custos</t>
  </si>
  <si>
    <t>NAS PLANILHAS DE FORMAÇÃO DE PREÇOS PARA A MÃO DE OBRA  A EMPRESA APRESENTARÁ DE FORMA DETALHADA OS ITENS QUE COMPÕEM O "VALOR MENSAL" PARA CADA POSTO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</si>
</sst>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R$ &quot;#,##0.00"/>
    <numFmt numFmtId="165" formatCode="&quot;R$ &quot;#,##0.00;[Red]&quot;-R$ &quot;#,##0.00"/>
    <numFmt numFmtId="166" formatCode="#,##0.00\ ;\-#,##0.00\ "/>
    <numFmt numFmtId="167" formatCode="[$R$-416]\ #,##0.00;[Red]\-[$R$-416]\ #,##0.00"/>
  </numFmts>
  <fonts count="25" x14ac:knownFonts="1">
    <font>
      <sz val="11"/>
      <color theme="1"/>
      <name val="Aptos Narrow"/>
      <family val="2"/>
      <charset val="1"/>
    </font>
    <font>
      <sz val="10"/>
      <name val="Arial"/>
      <family val="2"/>
    </font>
    <font>
      <u/>
      <sz val="11"/>
      <color theme="10"/>
      <name val="Aptos Narrow"/>
      <family val="2"/>
      <charset val="1"/>
    </font>
    <font>
      <b/>
      <sz val="8"/>
      <color theme="1"/>
      <name val="Times New Roman"/>
      <family val="1"/>
      <charset val="1"/>
    </font>
    <font>
      <b/>
      <sz val="8"/>
      <color rgb="FF000000"/>
      <name val="Times New Roman"/>
      <family val="1"/>
      <charset val="1"/>
    </font>
    <font>
      <sz val="8"/>
      <color theme="1"/>
      <name val="Aptos Narrow"/>
      <family val="2"/>
      <charset val="1"/>
    </font>
    <font>
      <sz val="8"/>
      <color theme="1"/>
      <name val="Times New Roman"/>
      <family val="1"/>
      <charset val="1"/>
    </font>
    <font>
      <sz val="8"/>
      <color rgb="FF000000"/>
      <name val="Times New Roman"/>
      <family val="1"/>
      <charset val="1"/>
    </font>
    <font>
      <b/>
      <sz val="9"/>
      <color theme="1"/>
      <name val="Aptos Narrow"/>
      <family val="2"/>
      <charset val="1"/>
    </font>
    <font>
      <sz val="9"/>
      <color theme="1"/>
      <name val="Times New Roman"/>
      <family val="1"/>
      <charset val="1"/>
    </font>
    <font>
      <sz val="9"/>
      <color theme="1"/>
      <name val="Aptos Narrow"/>
      <family val="2"/>
      <charset val="1"/>
    </font>
    <font>
      <sz val="11"/>
      <color theme="1"/>
      <name val="Times New Roman"/>
      <family val="1"/>
      <charset val="1"/>
    </font>
    <font>
      <b/>
      <u/>
      <sz val="8"/>
      <color rgb="FF00B0F0"/>
      <name val="Times New Roman"/>
      <family val="1"/>
      <charset val="1"/>
    </font>
    <font>
      <b/>
      <sz val="8"/>
      <color rgb="FF00B0F0"/>
      <name val="Times New Roman"/>
      <family val="1"/>
      <charset val="1"/>
    </font>
    <font>
      <b/>
      <sz val="11"/>
      <color theme="1"/>
      <name val="Aptos Narrow"/>
      <family val="2"/>
      <charset val="1"/>
    </font>
    <font>
      <sz val="10"/>
      <color theme="1"/>
      <name val="Times New Roman"/>
      <family val="1"/>
      <charset val="1"/>
    </font>
    <font>
      <sz val="9"/>
      <color rgb="FF000000"/>
      <name val="Segoe UI"/>
      <family val="2"/>
      <charset val="1"/>
    </font>
    <font>
      <sz val="10"/>
      <name val="Arial"/>
      <family val="2"/>
      <charset val="1"/>
    </font>
    <font>
      <b/>
      <u/>
      <sz val="9"/>
      <color rgb="FF000000"/>
      <name val="Times New Roman"/>
      <family val="1"/>
      <charset val="1"/>
    </font>
    <font>
      <b/>
      <sz val="9"/>
      <color rgb="FF000000"/>
      <name val="Times New Roman"/>
      <family val="1"/>
      <charset val="1"/>
    </font>
    <font>
      <b/>
      <sz val="9"/>
      <color rgb="FF000000"/>
      <name val="Segoe UI"/>
      <family val="2"/>
      <charset val="1"/>
    </font>
    <font>
      <b/>
      <i/>
      <sz val="8"/>
      <color theme="1"/>
      <name val="Times New Roman"/>
      <family val="1"/>
      <charset val="1"/>
    </font>
    <font>
      <b/>
      <sz val="14"/>
      <name val="Arial"/>
      <family val="2"/>
    </font>
    <font>
      <b/>
      <sz val="10"/>
      <name val="Arial"/>
      <family val="2"/>
    </font>
    <font>
      <b/>
      <sz val="10"/>
      <color rgb="FFFF0000"/>
      <name val="Arial"/>
      <family val="2"/>
    </font>
  </fonts>
  <fills count="19">
    <fill>
      <patternFill patternType="none"/>
    </fill>
    <fill>
      <patternFill patternType="gray125"/>
    </fill>
    <fill>
      <patternFill patternType="solid">
        <fgColor rgb="FF729FCF"/>
        <bgColor rgb="FF969696"/>
      </patternFill>
    </fill>
    <fill>
      <patternFill patternType="solid">
        <fgColor theme="4" tint="0.59987182226020086"/>
        <bgColor rgb="FF729FCF"/>
      </patternFill>
    </fill>
    <fill>
      <patternFill patternType="solid">
        <fgColor theme="3" tint="0.89989928891872917"/>
        <bgColor rgb="FFEEEEEE"/>
      </patternFill>
    </fill>
    <fill>
      <patternFill patternType="solid">
        <fgColor rgb="FFD9D9D9"/>
        <bgColor rgb="FFDCEAF7"/>
      </patternFill>
    </fill>
    <fill>
      <patternFill patternType="solid">
        <fgColor rgb="FFC1E5F5"/>
        <bgColor rgb="FFDCEAF7"/>
      </patternFill>
    </fill>
    <fill>
      <patternFill patternType="solid">
        <fgColor theme="0" tint="-0.249977111117893"/>
        <bgColor rgb="FFD9D9D9"/>
      </patternFill>
    </fill>
    <fill>
      <patternFill patternType="solid">
        <fgColor rgb="FFFEFFDE"/>
        <bgColor rgb="FFFFFFD7"/>
      </patternFill>
    </fill>
    <fill>
      <patternFill patternType="solid">
        <fgColor theme="0"/>
        <bgColor rgb="FFFEFFDE"/>
      </patternFill>
    </fill>
    <fill>
      <patternFill patternType="solid">
        <fgColor theme="5"/>
        <bgColor rgb="FFFF8080"/>
      </patternFill>
    </fill>
    <fill>
      <patternFill patternType="solid">
        <fgColor theme="5" tint="0.59987182226020086"/>
        <bgColor rgb="FFD9D9D9"/>
      </patternFill>
    </fill>
    <fill>
      <patternFill patternType="solid">
        <fgColor rgb="FFEEEEEE"/>
        <bgColor rgb="FFDCEAF7"/>
      </patternFill>
    </fill>
    <fill>
      <patternFill patternType="solid">
        <fgColor rgb="FFFFFFD7"/>
        <bgColor rgb="FFFEFFDE"/>
      </patternFill>
    </fill>
    <fill>
      <patternFill patternType="solid">
        <fgColor theme="4" tint="0.59999389629810485"/>
        <bgColor indexed="64"/>
      </patternFill>
    </fill>
    <fill>
      <patternFill patternType="solid">
        <fgColor rgb="FFFFFF00"/>
        <bgColor indexed="64"/>
      </patternFill>
    </fill>
    <fill>
      <patternFill patternType="solid">
        <fgColor rgb="FFFFFF00"/>
        <bgColor rgb="FFFFFFD7"/>
      </patternFill>
    </fill>
    <fill>
      <patternFill patternType="solid">
        <fgColor rgb="FFFFFF00"/>
        <bgColor rgb="FFD9D9D9"/>
      </patternFill>
    </fill>
    <fill>
      <patternFill patternType="solid">
        <fgColor rgb="FFFFFF00"/>
        <bgColor rgb="FFFEFFDE"/>
      </patternFill>
    </fill>
  </fills>
  <borders count="8">
    <border>
      <left/>
      <right/>
      <top/>
      <bottom/>
      <diagonal/>
    </border>
    <border>
      <left style="double">
        <color auto="1"/>
      </left>
      <right style="double">
        <color auto="1"/>
      </right>
      <top style="double">
        <color auto="1"/>
      </top>
      <bottom style="double">
        <color auto="1"/>
      </bottom>
      <diagonal/>
    </border>
    <border>
      <left/>
      <right style="double">
        <color auto="1"/>
      </right>
      <top style="double">
        <color auto="1"/>
      </top>
      <bottom style="double">
        <color auto="1"/>
      </bottom>
      <diagonal/>
    </border>
    <border>
      <left style="double">
        <color auto="1"/>
      </left>
      <right style="double">
        <color auto="1"/>
      </right>
      <top/>
      <bottom style="double">
        <color auto="1"/>
      </bottom>
      <diagonal/>
    </border>
    <border>
      <left style="double">
        <color auto="1"/>
      </left>
      <right style="double">
        <color auto="1"/>
      </right>
      <top style="double">
        <color auto="1"/>
      </top>
      <bottom/>
      <diagonal/>
    </border>
    <border>
      <left/>
      <right/>
      <top/>
      <bottom style="double">
        <color auto="1"/>
      </bottom>
      <diagonal/>
    </border>
    <border>
      <left/>
      <right/>
      <top style="thin">
        <color auto="1"/>
      </top>
      <bottom/>
      <diagonal/>
    </border>
    <border>
      <left style="double">
        <color auto="1"/>
      </left>
      <right/>
      <top style="double">
        <color auto="1"/>
      </top>
      <bottom style="double">
        <color auto="1"/>
      </bottom>
      <diagonal/>
    </border>
  </borders>
  <cellStyleXfs count="4">
    <xf numFmtId="0" fontId="0" fillId="0" borderId="0"/>
    <xf numFmtId="0" fontId="2" fillId="0" borderId="0" applyBorder="0" applyProtection="0"/>
    <xf numFmtId="0" fontId="2" fillId="0" borderId="0" applyBorder="0" applyProtection="0"/>
    <xf numFmtId="0" fontId="1" fillId="0" borderId="0"/>
  </cellStyleXfs>
  <cellXfs count="193">
    <xf numFmtId="0" fontId="0" fillId="0" borderId="0" xfId="0"/>
    <xf numFmtId="0" fontId="6" fillId="0" borderId="1" xfId="0" applyFont="1" applyBorder="1" applyAlignment="1">
      <alignment vertical="center"/>
    </xf>
    <xf numFmtId="0" fontId="3" fillId="0" borderId="1" xfId="0" applyFont="1" applyBorder="1" applyAlignment="1">
      <alignment horizontal="center" vertical="center"/>
    </xf>
    <xf numFmtId="0" fontId="6" fillId="0" borderId="1" xfId="0" applyFont="1" applyBorder="1" applyAlignment="1">
      <alignment horizontal="center" vertical="center"/>
    </xf>
    <xf numFmtId="0" fontId="6" fillId="8" borderId="1" xfId="0" applyFont="1" applyFill="1" applyBorder="1" applyAlignment="1">
      <alignment horizontal="center" vertical="center"/>
    </xf>
    <xf numFmtId="1"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2"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0" fillId="0" borderId="0" xfId="0" applyAlignment="1">
      <alignment vertical="center"/>
    </xf>
    <xf numFmtId="0" fontId="5" fillId="0" borderId="0" xfId="0" applyFont="1" applyAlignment="1">
      <alignment horizontal="center"/>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5" fillId="0" borderId="0" xfId="0" applyFont="1" applyAlignment="1">
      <alignment vertical="center"/>
    </xf>
    <xf numFmtId="0" fontId="3" fillId="4" borderId="1" xfId="0" applyFont="1" applyFill="1" applyBorder="1" applyAlignment="1">
      <alignment horizontal="center" vertical="center" wrapText="1"/>
    </xf>
    <xf numFmtId="10" fontId="4" fillId="0" borderId="1" xfId="0" applyNumberFormat="1" applyFont="1" applyBorder="1" applyAlignment="1">
      <alignment horizontal="center" vertical="center" wrapText="1"/>
    </xf>
    <xf numFmtId="10" fontId="4" fillId="6"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10" fontId="4" fillId="0" borderId="0" xfId="0" applyNumberFormat="1" applyFont="1"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164" fontId="3" fillId="0" borderId="1" xfId="0" applyNumberFormat="1" applyFont="1" applyBorder="1" applyAlignment="1">
      <alignment horizontal="center" vertical="center"/>
    </xf>
    <xf numFmtId="0" fontId="6" fillId="0" borderId="0" xfId="0" applyFont="1" applyAlignment="1">
      <alignment vertical="center"/>
    </xf>
    <xf numFmtId="0" fontId="9" fillId="0" borderId="0" xfId="0" applyFont="1"/>
    <xf numFmtId="0" fontId="3" fillId="0" borderId="2" xfId="0" applyFont="1" applyBorder="1" applyAlignment="1">
      <alignment horizontal="center" vertical="center" wrapText="1"/>
    </xf>
    <xf numFmtId="0" fontId="6" fillId="0" borderId="2" xfId="0" applyFont="1" applyBorder="1" applyAlignment="1">
      <alignment horizontal="left" vertical="center"/>
    </xf>
    <xf numFmtId="164" fontId="6" fillId="0" borderId="1" xfId="0" applyNumberFormat="1" applyFont="1" applyBorder="1" applyAlignment="1">
      <alignment horizontal="center" vertical="center" wrapText="1"/>
    </xf>
    <xf numFmtId="0" fontId="10" fillId="0" borderId="0" xfId="0" applyFont="1" applyAlignment="1">
      <alignment vertical="center"/>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left" vertical="center" wrapText="1"/>
    </xf>
    <xf numFmtId="3"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center" vertical="center" wrapText="1"/>
    </xf>
    <xf numFmtId="0" fontId="11" fillId="0" borderId="0" xfId="0" applyFont="1"/>
    <xf numFmtId="0" fontId="10" fillId="0" borderId="0" xfId="0" applyFont="1"/>
    <xf numFmtId="0" fontId="6" fillId="0" borderId="1" xfId="0" applyFont="1" applyBorder="1" applyAlignment="1">
      <alignment horizontal="center"/>
    </xf>
    <xf numFmtId="0" fontId="6" fillId="0" borderId="1" xfId="0" applyFont="1" applyBorder="1" applyAlignment="1">
      <alignment horizontal="center" wrapText="1"/>
    </xf>
    <xf numFmtId="164" fontId="6" fillId="0" borderId="1" xfId="0" applyNumberFormat="1" applyFont="1" applyBorder="1" applyAlignment="1">
      <alignment horizontal="center" wrapText="1"/>
    </xf>
    <xf numFmtId="0" fontId="7" fillId="0" borderId="5" xfId="0" applyFont="1" applyBorder="1" applyAlignment="1">
      <alignment vertical="center"/>
    </xf>
    <xf numFmtId="0" fontId="7" fillId="0" borderId="6" xfId="0" applyFont="1" applyBorder="1" applyAlignment="1">
      <alignment vertical="center"/>
    </xf>
    <xf numFmtId="0" fontId="3" fillId="0" borderId="3" xfId="0" applyFont="1" applyBorder="1" applyAlignment="1">
      <alignment horizontal="center" vertical="center"/>
    </xf>
    <xf numFmtId="0" fontId="7" fillId="0" borderId="1" xfId="0" applyFont="1" applyBorder="1" applyAlignment="1">
      <alignment horizontal="center" vertical="center" wrapText="1"/>
    </xf>
    <xf numFmtId="164" fontId="6" fillId="0" borderId="1" xfId="0" applyNumberFormat="1" applyFont="1" applyBorder="1" applyAlignment="1">
      <alignment horizontal="center" vertical="center"/>
    </xf>
    <xf numFmtId="0" fontId="7" fillId="0" borderId="5" xfId="0" applyFont="1" applyBorder="1" applyAlignment="1">
      <alignment horizontal="left" vertical="center"/>
    </xf>
    <xf numFmtId="0" fontId="7" fillId="0" borderId="0" xfId="0" applyFont="1" applyAlignment="1">
      <alignment horizontal="left" vertical="center"/>
    </xf>
    <xf numFmtId="1" fontId="7" fillId="0" borderId="1" xfId="0" applyNumberFormat="1" applyFont="1" applyBorder="1" applyAlignment="1">
      <alignment horizontal="center" vertical="center" wrapText="1"/>
    </xf>
    <xf numFmtId="0" fontId="6" fillId="0" borderId="5" xfId="0" applyFont="1" applyBorder="1" applyAlignment="1">
      <alignment horizontal="left" vertical="center"/>
    </xf>
    <xf numFmtId="0" fontId="6" fillId="0" borderId="4" xfId="0" applyFont="1" applyBorder="1" applyAlignment="1">
      <alignment horizontal="left" vertical="center" wrapText="1"/>
    </xf>
    <xf numFmtId="0" fontId="6" fillId="0" borderId="1" xfId="0" applyFont="1" applyBorder="1" applyAlignment="1">
      <alignment horizontal="left" vertical="center"/>
    </xf>
    <xf numFmtId="0" fontId="7" fillId="0" borderId="1" xfId="0" applyFont="1" applyBorder="1" applyAlignment="1">
      <alignment horizontal="left" vertical="center"/>
    </xf>
    <xf numFmtId="164" fontId="6" fillId="0" borderId="7" xfId="0" applyNumberFormat="1" applyFont="1" applyBorder="1" applyAlignment="1">
      <alignment horizontal="center" vertical="center"/>
    </xf>
    <xf numFmtId="0" fontId="6" fillId="0" borderId="7" xfId="0" applyFont="1" applyBorder="1" applyAlignment="1">
      <alignment horizontal="center" vertical="center"/>
    </xf>
    <xf numFmtId="0" fontId="6" fillId="0" borderId="0" xfId="0" applyFont="1"/>
    <xf numFmtId="0" fontId="6" fillId="0" borderId="1" xfId="0" applyFont="1" applyBorder="1" applyAlignment="1">
      <alignment vertical="center" wrapText="1"/>
    </xf>
    <xf numFmtId="165" fontId="6" fillId="0" borderId="1" xfId="0" applyNumberFormat="1" applyFont="1" applyBorder="1" applyAlignment="1">
      <alignment horizontal="center" vertical="center"/>
    </xf>
    <xf numFmtId="0" fontId="3" fillId="8" borderId="1" xfId="0" applyFont="1" applyFill="1" applyBorder="1" applyAlignment="1">
      <alignment horizontal="center" vertical="center"/>
    </xf>
    <xf numFmtId="164" fontId="6" fillId="8" borderId="1" xfId="0" applyNumberFormat="1" applyFont="1" applyFill="1" applyBorder="1" applyAlignment="1">
      <alignment horizontal="center" vertical="center"/>
    </xf>
    <xf numFmtId="165" fontId="6" fillId="8" borderId="1" xfId="0" applyNumberFormat="1" applyFont="1" applyFill="1" applyBorder="1" applyAlignment="1">
      <alignment horizontal="center" vertical="center"/>
    </xf>
    <xf numFmtId="0" fontId="6" fillId="0" borderId="0" xfId="0" applyFont="1" applyAlignment="1">
      <alignment horizontal="center" vertical="center"/>
    </xf>
    <xf numFmtId="164" fontId="3" fillId="8" borderId="1" xfId="0" applyNumberFormat="1" applyFont="1" applyFill="1" applyBorder="1" applyAlignment="1">
      <alignment horizontal="center" vertical="center"/>
    </xf>
    <xf numFmtId="165" fontId="6" fillId="0" borderId="1" xfId="0" applyNumberFormat="1" applyFont="1" applyBorder="1" applyAlignment="1">
      <alignment horizontal="center" vertical="center" wrapText="1"/>
    </xf>
    <xf numFmtId="0" fontId="3" fillId="11" borderId="1" xfId="0" applyFont="1" applyFill="1" applyBorder="1" applyAlignment="1">
      <alignment horizontal="center" vertical="center"/>
    </xf>
    <xf numFmtId="0" fontId="3" fillId="11"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165" fontId="3" fillId="11" borderId="1" xfId="0" applyNumberFormat="1" applyFont="1" applyFill="1" applyBorder="1" applyAlignment="1">
      <alignment horizontal="center" vertical="center"/>
    </xf>
    <xf numFmtId="0" fontId="6" fillId="11" borderId="1" xfId="0" applyFont="1" applyFill="1" applyBorder="1" applyAlignment="1">
      <alignment horizontal="center" vertical="center"/>
    </xf>
    <xf numFmtId="0" fontId="4" fillId="13" borderId="1" xfId="0" applyFont="1" applyFill="1" applyBorder="1" applyAlignment="1">
      <alignment horizontal="center" vertical="center"/>
    </xf>
    <xf numFmtId="165" fontId="4" fillId="13" borderId="1" xfId="0" applyNumberFormat="1" applyFont="1" applyFill="1" applyBorder="1" applyAlignment="1">
      <alignment horizontal="center" vertical="center"/>
    </xf>
    <xf numFmtId="0" fontId="4" fillId="11" borderId="1" xfId="0" applyFont="1" applyFill="1" applyBorder="1" applyAlignment="1">
      <alignment horizontal="center" vertical="center"/>
    </xf>
    <xf numFmtId="165" fontId="4" fillId="11" borderId="1" xfId="0" applyNumberFormat="1" applyFont="1" applyFill="1" applyBorder="1" applyAlignment="1">
      <alignment horizontal="center" vertical="center"/>
    </xf>
    <xf numFmtId="165" fontId="3" fillId="10" borderId="1" xfId="0" applyNumberFormat="1" applyFont="1" applyFill="1" applyBorder="1" applyAlignment="1">
      <alignment horizontal="center" vertical="center"/>
    </xf>
    <xf numFmtId="2" fontId="4" fillId="13" borderId="1" xfId="0" applyNumberFormat="1" applyFont="1" applyFill="1" applyBorder="1" applyAlignment="1">
      <alignment horizontal="center" vertical="center"/>
    </xf>
    <xf numFmtId="2" fontId="4" fillId="11" borderId="1" xfId="0" applyNumberFormat="1" applyFont="1" applyFill="1" applyBorder="1" applyAlignment="1">
      <alignment horizontal="center" vertical="center"/>
    </xf>
    <xf numFmtId="2" fontId="3" fillId="10" borderId="1" xfId="0" applyNumberFormat="1" applyFont="1" applyFill="1" applyBorder="1" applyAlignment="1">
      <alignment horizontal="center" vertical="center"/>
    </xf>
    <xf numFmtId="0" fontId="7" fillId="11" borderId="1" xfId="0" applyFont="1" applyFill="1" applyBorder="1" applyAlignment="1">
      <alignment horizontal="center" vertical="center"/>
    </xf>
    <xf numFmtId="10" fontId="4" fillId="13" borderId="1" xfId="0" applyNumberFormat="1" applyFont="1" applyFill="1" applyBorder="1" applyAlignment="1">
      <alignment horizontal="center" vertical="center"/>
    </xf>
    <xf numFmtId="10" fontId="4" fillId="11" borderId="1" xfId="0" applyNumberFormat="1" applyFont="1" applyFill="1" applyBorder="1" applyAlignment="1">
      <alignment horizontal="center" vertical="center"/>
    </xf>
    <xf numFmtId="10" fontId="3" fillId="10" borderId="1" xfId="0" applyNumberFormat="1" applyFont="1" applyFill="1" applyBorder="1" applyAlignment="1">
      <alignment horizontal="center" vertical="center"/>
    </xf>
    <xf numFmtId="0" fontId="3" fillId="13" borderId="1" xfId="0" applyFont="1" applyFill="1" applyBorder="1" applyAlignment="1">
      <alignment horizontal="center" vertical="center"/>
    </xf>
    <xf numFmtId="165" fontId="3" fillId="13" borderId="1" xfId="0" applyNumberFormat="1" applyFont="1" applyFill="1" applyBorder="1" applyAlignment="1">
      <alignment horizontal="center" vertical="center"/>
    </xf>
    <xf numFmtId="0" fontId="14" fillId="0" borderId="0" xfId="0" applyFont="1"/>
    <xf numFmtId="164" fontId="4" fillId="11" borderId="1" xfId="0" applyNumberFormat="1" applyFont="1" applyFill="1" applyBorder="1" applyAlignment="1">
      <alignment horizontal="center" vertical="center"/>
    </xf>
    <xf numFmtId="0" fontId="7" fillId="13" borderId="1" xfId="0" applyFont="1" applyFill="1" applyBorder="1" applyAlignment="1">
      <alignment horizontal="center" vertical="center"/>
    </xf>
    <xf numFmtId="10" fontId="3" fillId="13" borderId="1" xfId="0" applyNumberFormat="1" applyFont="1" applyFill="1" applyBorder="1" applyAlignment="1">
      <alignment horizontal="center" vertical="center"/>
    </xf>
    <xf numFmtId="165" fontId="4" fillId="8" borderId="1" xfId="0" applyNumberFormat="1" applyFont="1" applyFill="1" applyBorder="1" applyAlignment="1">
      <alignment horizontal="center" vertical="center"/>
    </xf>
    <xf numFmtId="10" fontId="3" fillId="11" borderId="1"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3" fillId="11" borderId="0" xfId="0" applyFont="1" applyFill="1" applyAlignment="1">
      <alignment horizontal="center" vertical="center" wrapText="1"/>
    </xf>
    <xf numFmtId="0" fontId="3" fillId="13" borderId="1" xfId="0" applyFont="1" applyFill="1" applyBorder="1" applyAlignment="1">
      <alignment horizontal="center" vertical="center" wrapText="1"/>
    </xf>
    <xf numFmtId="165" fontId="3" fillId="13" borderId="1" xfId="0" applyNumberFormat="1" applyFont="1" applyFill="1" applyBorder="1" applyAlignment="1">
      <alignment horizontal="center" vertical="center" wrapText="1"/>
    </xf>
    <xf numFmtId="0" fontId="15" fillId="0" borderId="0" xfId="0" applyFont="1"/>
    <xf numFmtId="0" fontId="0" fillId="9" borderId="0" xfId="0" applyFill="1"/>
    <xf numFmtId="0" fontId="4" fillId="8" borderId="1" xfId="0" applyFont="1" applyFill="1" applyBorder="1" applyAlignment="1">
      <alignment horizontal="center" vertical="center"/>
    </xf>
    <xf numFmtId="164" fontId="4" fillId="13" borderId="1" xfId="0" applyNumberFormat="1" applyFont="1" applyFill="1" applyBorder="1" applyAlignment="1">
      <alignment horizontal="center" vertical="center"/>
    </xf>
    <xf numFmtId="0" fontId="7" fillId="13" borderId="1" xfId="0" applyFont="1" applyFill="1" applyBorder="1" applyAlignment="1">
      <alignment horizontal="center"/>
    </xf>
    <xf numFmtId="165" fontId="4" fillId="13" borderId="1" xfId="0" applyNumberFormat="1" applyFont="1" applyFill="1" applyBorder="1" applyAlignment="1">
      <alignment horizontal="center"/>
    </xf>
    <xf numFmtId="0" fontId="7" fillId="11" borderId="1" xfId="0" applyFont="1" applyFill="1" applyBorder="1" applyAlignment="1">
      <alignment horizontal="center"/>
    </xf>
    <xf numFmtId="0" fontId="7" fillId="8" borderId="1" xfId="0" applyFont="1" applyFill="1" applyBorder="1" applyAlignment="1">
      <alignment horizontal="center"/>
    </xf>
    <xf numFmtId="0" fontId="0" fillId="0" borderId="0" xfId="0" applyAlignment="1">
      <alignment horizontal="center"/>
    </xf>
    <xf numFmtId="0" fontId="3" fillId="11" borderId="1" xfId="0" applyFont="1" applyFill="1" applyBorder="1" applyAlignment="1">
      <alignment vertical="center" wrapText="1"/>
    </xf>
    <xf numFmtId="165" fontId="3" fillId="8" borderId="1" xfId="0" applyNumberFormat="1" applyFont="1" applyFill="1" applyBorder="1" applyAlignment="1">
      <alignment horizontal="center" vertical="center" wrapText="1"/>
    </xf>
    <xf numFmtId="165" fontId="3" fillId="11" borderId="1" xfId="0" applyNumberFormat="1" applyFont="1" applyFill="1" applyBorder="1" applyAlignment="1">
      <alignment horizontal="center" vertical="center" wrapText="1"/>
    </xf>
    <xf numFmtId="164" fontId="3" fillId="8" borderId="1" xfId="0" applyNumberFormat="1" applyFont="1" applyFill="1" applyBorder="1" applyAlignment="1">
      <alignment horizontal="center" vertical="center" wrapText="1"/>
    </xf>
    <xf numFmtId="1" fontId="3" fillId="8" borderId="1" xfId="0" applyNumberFormat="1" applyFont="1" applyFill="1" applyBorder="1" applyAlignment="1">
      <alignment horizontal="center" vertical="center" wrapText="1"/>
    </xf>
    <xf numFmtId="0" fontId="3" fillId="11" borderId="4" xfId="0" applyFont="1" applyFill="1" applyBorder="1" applyAlignment="1">
      <alignment horizontal="center" vertical="center" wrapText="1"/>
    </xf>
    <xf numFmtId="0" fontId="1" fillId="0" borderId="0" xfId="3"/>
    <xf numFmtId="0" fontId="23" fillId="0" borderId="0" xfId="3" applyFont="1" applyAlignment="1">
      <alignment horizontal="left" vertical="center" wrapText="1"/>
    </xf>
    <xf numFmtId="0" fontId="1" fillId="0" borderId="0" xfId="3" applyAlignment="1">
      <alignment wrapText="1"/>
    </xf>
    <xf numFmtId="0" fontId="23" fillId="0" borderId="0" xfId="3" applyFont="1" applyAlignment="1">
      <alignment horizontal="left" vertical="center" indent="1"/>
    </xf>
    <xf numFmtId="0" fontId="23" fillId="0" borderId="0" xfId="3" applyFont="1" applyAlignment="1">
      <alignment horizontal="left" vertical="center" wrapText="1" indent="1"/>
    </xf>
    <xf numFmtId="0" fontId="23" fillId="0" borderId="0" xfId="3" applyFont="1" applyAlignment="1">
      <alignment horizontal="center" vertical="center"/>
    </xf>
    <xf numFmtId="0" fontId="1" fillId="0" borderId="0" xfId="3" applyAlignment="1">
      <alignment horizontal="left" vertical="center" wrapText="1" indent="1"/>
    </xf>
    <xf numFmtId="166" fontId="1" fillId="0" borderId="0" xfId="3" applyNumberFormat="1" applyAlignment="1">
      <alignment horizontal="left" vertical="center" wrapText="1" indent="1"/>
    </xf>
    <xf numFmtId="167" fontId="1" fillId="0" borderId="0" xfId="3" applyNumberFormat="1" applyAlignment="1">
      <alignment horizontal="left" vertical="center" wrapText="1" indent="1"/>
    </xf>
    <xf numFmtId="0" fontId="23" fillId="0" borderId="0" xfId="3" applyFont="1" applyAlignment="1">
      <alignment horizontal="left" indent="1"/>
    </xf>
    <xf numFmtId="164" fontId="3" fillId="15" borderId="1" xfId="0" applyNumberFormat="1" applyFont="1" applyFill="1" applyBorder="1" applyAlignment="1">
      <alignment horizontal="center" vertical="center" wrapText="1"/>
    </xf>
    <xf numFmtId="10" fontId="4" fillId="15" borderId="1" xfId="0" applyNumberFormat="1" applyFont="1" applyFill="1" applyBorder="1" applyAlignment="1">
      <alignment horizontal="center" vertical="center" wrapText="1"/>
    </xf>
    <xf numFmtId="164" fontId="3" fillId="15" borderId="1" xfId="0" applyNumberFormat="1" applyFont="1" applyFill="1" applyBorder="1" applyAlignment="1">
      <alignment horizontal="center" vertical="center"/>
    </xf>
    <xf numFmtId="164" fontId="6" fillId="15" borderId="1" xfId="0" applyNumberFormat="1" applyFont="1" applyFill="1" applyBorder="1" applyAlignment="1">
      <alignment horizontal="center" vertical="center" wrapText="1"/>
    </xf>
    <xf numFmtId="164" fontId="7" fillId="15" borderId="1" xfId="0" applyNumberFormat="1" applyFont="1" applyFill="1" applyBorder="1" applyAlignment="1">
      <alignment horizontal="center" vertical="center" wrapText="1"/>
    </xf>
    <xf numFmtId="164" fontId="7" fillId="15" borderId="1" xfId="0" applyNumberFormat="1" applyFont="1" applyFill="1" applyBorder="1" applyAlignment="1">
      <alignment horizontal="center" vertical="center"/>
    </xf>
    <xf numFmtId="164" fontId="6" fillId="15" borderId="1" xfId="0" applyNumberFormat="1" applyFont="1" applyFill="1" applyBorder="1" applyAlignment="1">
      <alignment horizontal="center" vertical="center"/>
    </xf>
    <xf numFmtId="165" fontId="6" fillId="15" borderId="1" xfId="0" applyNumberFormat="1" applyFont="1" applyFill="1" applyBorder="1" applyAlignment="1">
      <alignment horizontal="center" vertical="center" wrapText="1"/>
    </xf>
    <xf numFmtId="165" fontId="4" fillId="17" borderId="1" xfId="0" applyNumberFormat="1" applyFont="1" applyFill="1" applyBorder="1" applyAlignment="1">
      <alignment horizontal="center" vertical="center"/>
    </xf>
    <xf numFmtId="165" fontId="4" fillId="18" borderId="1" xfId="0" applyNumberFormat="1" applyFont="1" applyFill="1" applyBorder="1" applyAlignment="1">
      <alignment horizontal="center" vertical="center"/>
    </xf>
    <xf numFmtId="10" fontId="4" fillId="18" borderId="1" xfId="0" applyNumberFormat="1" applyFont="1" applyFill="1" applyBorder="1" applyAlignment="1">
      <alignment horizontal="center" vertical="center"/>
    </xf>
    <xf numFmtId="10" fontId="4" fillId="17" borderId="1" xfId="0" applyNumberFormat="1" applyFont="1" applyFill="1" applyBorder="1" applyAlignment="1">
      <alignment horizontal="center" vertical="center"/>
    </xf>
    <xf numFmtId="10" fontId="3" fillId="17" borderId="1" xfId="0" applyNumberFormat="1" applyFont="1" applyFill="1" applyBorder="1" applyAlignment="1">
      <alignment horizontal="center" vertical="center"/>
    </xf>
    <xf numFmtId="10" fontId="3" fillId="16" borderId="1" xfId="0" applyNumberFormat="1" applyFont="1" applyFill="1" applyBorder="1" applyAlignment="1">
      <alignment horizontal="center" vertical="center"/>
    </xf>
    <xf numFmtId="0" fontId="23" fillId="0" borderId="0" xfId="3" applyFont="1" applyAlignment="1">
      <alignment horizontal="left" vertical="center" wrapText="1" indent="1"/>
    </xf>
    <xf numFmtId="0" fontId="23" fillId="0" borderId="0" xfId="3" applyFont="1" applyAlignment="1">
      <alignment horizontal="left" vertical="center" wrapText="1"/>
    </xf>
    <xf numFmtId="0" fontId="24" fillId="0" borderId="0" xfId="3" applyFont="1" applyAlignment="1">
      <alignment horizontal="left"/>
    </xf>
    <xf numFmtId="0" fontId="22" fillId="14" borderId="0" xfId="3" applyFont="1" applyFill="1" applyAlignment="1">
      <alignment horizontal="center" vertical="center"/>
    </xf>
    <xf numFmtId="0" fontId="22" fillId="0" borderId="0" xfId="3" applyFont="1" applyAlignment="1">
      <alignment horizontal="center" vertical="center"/>
    </xf>
    <xf numFmtId="0" fontId="3" fillId="8" borderId="1" xfId="0" applyFont="1" applyFill="1" applyBorder="1" applyAlignment="1">
      <alignment horizontal="center" vertical="center" wrapText="1"/>
    </xf>
    <xf numFmtId="164" fontId="3" fillId="8"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3" fillId="10" borderId="1" xfId="0" applyFont="1" applyFill="1" applyBorder="1" applyAlignment="1">
      <alignment horizontal="center" vertical="center" wrapText="1"/>
    </xf>
    <xf numFmtId="0" fontId="3" fillId="11" borderId="1" xfId="0" applyFont="1" applyFill="1" applyBorder="1" applyAlignment="1">
      <alignment horizontal="center" vertical="center" wrapText="1"/>
    </xf>
    <xf numFmtId="0" fontId="6" fillId="11" borderId="1" xfId="0" applyFont="1" applyFill="1" applyBorder="1" applyAlignment="1">
      <alignment horizontal="center" vertical="center" wrapText="1"/>
    </xf>
    <xf numFmtId="0" fontId="3" fillId="11" borderId="4" xfId="0" applyFont="1" applyFill="1" applyBorder="1" applyAlignment="1">
      <alignment horizontal="center" vertical="center" wrapText="1"/>
    </xf>
    <xf numFmtId="0" fontId="6" fillId="0" borderId="3" xfId="0" applyFont="1" applyBorder="1" applyAlignment="1">
      <alignment horizontal="center" vertical="center" wrapText="1"/>
    </xf>
    <xf numFmtId="0" fontId="3" fillId="8" borderId="1" xfId="0" applyFont="1" applyFill="1" applyBorder="1" applyAlignment="1">
      <alignment horizontal="left" vertical="center" wrapText="1"/>
    </xf>
    <xf numFmtId="0" fontId="3" fillId="11"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21" fillId="8"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5"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8"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6" fillId="11" borderId="1" xfId="0" applyFont="1" applyFill="1" applyBorder="1" applyAlignment="1">
      <alignment vertical="center"/>
    </xf>
    <xf numFmtId="0" fontId="6" fillId="13" borderId="1" xfId="0" applyFont="1" applyFill="1" applyBorder="1" applyAlignment="1">
      <alignment vertical="center"/>
    </xf>
    <xf numFmtId="0" fontId="3" fillId="13" borderId="1" xfId="0" applyFont="1" applyFill="1" applyBorder="1" applyAlignment="1">
      <alignment horizontal="center" vertical="center"/>
    </xf>
    <xf numFmtId="0" fontId="6" fillId="11" borderId="1" xfId="0" applyFont="1" applyFill="1" applyBorder="1" applyAlignment="1">
      <alignment horizontal="center" vertical="center"/>
    </xf>
    <xf numFmtId="0" fontId="6" fillId="0" borderId="1" xfId="0" applyFont="1" applyBorder="1" applyAlignment="1">
      <alignment vertical="center"/>
    </xf>
    <xf numFmtId="0" fontId="6" fillId="8" borderId="1" xfId="0" applyFont="1" applyFill="1" applyBorder="1" applyAlignment="1">
      <alignment vertical="center"/>
    </xf>
    <xf numFmtId="0" fontId="3" fillId="10" borderId="1" xfId="0" applyFont="1" applyFill="1" applyBorder="1" applyAlignment="1">
      <alignment horizontal="center" vertical="center"/>
    </xf>
    <xf numFmtId="0" fontId="6" fillId="10" borderId="1" xfId="0" applyFont="1" applyFill="1" applyBorder="1" applyAlignment="1">
      <alignment horizontal="center" vertical="center"/>
    </xf>
    <xf numFmtId="0" fontId="3" fillId="11" borderId="1" xfId="0" applyFont="1" applyFill="1" applyBorder="1" applyAlignment="1">
      <alignment horizontal="center" vertical="center"/>
    </xf>
    <xf numFmtId="0" fontId="3" fillId="8" borderId="1" xfId="0" applyFont="1" applyFill="1" applyBorder="1" applyAlignment="1">
      <alignment horizontal="center" vertical="center"/>
    </xf>
    <xf numFmtId="0" fontId="7" fillId="13" borderId="1" xfId="0" applyFont="1" applyFill="1" applyBorder="1" applyAlignment="1">
      <alignment horizontal="left" vertical="center"/>
    </xf>
    <xf numFmtId="0" fontId="7" fillId="11" borderId="1" xfId="0" applyFont="1" applyFill="1" applyBorder="1" applyAlignment="1">
      <alignment horizontal="left" vertical="center"/>
    </xf>
    <xf numFmtId="165" fontId="7" fillId="13" borderId="1" xfId="0" applyNumberFormat="1" applyFont="1" applyFill="1" applyBorder="1" applyAlignment="1">
      <alignment horizontal="left" vertical="center"/>
    </xf>
    <xf numFmtId="0" fontId="3" fillId="13" borderId="1" xfId="0" applyFont="1" applyFill="1" applyBorder="1" applyAlignment="1">
      <alignment vertical="center"/>
    </xf>
    <xf numFmtId="0" fontId="7" fillId="11" borderId="1" xfId="0" applyFont="1" applyFill="1" applyBorder="1" applyAlignment="1">
      <alignment vertical="center"/>
    </xf>
    <xf numFmtId="0" fontId="3" fillId="11" borderId="1" xfId="0" applyFont="1" applyFill="1" applyBorder="1" applyAlignment="1">
      <alignment vertical="center"/>
    </xf>
    <xf numFmtId="165" fontId="3" fillId="13" borderId="1" xfId="0" applyNumberFormat="1" applyFont="1" applyFill="1" applyBorder="1" applyAlignment="1">
      <alignment horizontal="center" vertical="center"/>
    </xf>
    <xf numFmtId="0" fontId="7" fillId="8" borderId="1" xfId="0" applyFont="1" applyFill="1" applyBorder="1" applyAlignment="1">
      <alignment horizontal="left" vertical="center"/>
    </xf>
    <xf numFmtId="0" fontId="3" fillId="12" borderId="4" xfId="0" applyFont="1" applyFill="1" applyBorder="1" applyAlignment="1">
      <alignment horizontal="center" vertical="center"/>
    </xf>
    <xf numFmtId="0" fontId="12" fillId="8" borderId="1" xfId="2" applyFont="1" applyFill="1" applyBorder="1" applyAlignment="1" applyProtection="1">
      <alignment horizontal="center" vertical="center"/>
    </xf>
    <xf numFmtId="165" fontId="3" fillId="17" borderId="1" xfId="0" applyNumberFormat="1" applyFont="1" applyFill="1" applyBorder="1" applyAlignment="1">
      <alignment horizontal="center" vertical="center"/>
    </xf>
    <xf numFmtId="0" fontId="3" fillId="17" borderId="1" xfId="0" applyFont="1" applyFill="1" applyBorder="1" applyAlignment="1">
      <alignment horizontal="center" vertical="center"/>
    </xf>
    <xf numFmtId="0" fontId="4" fillId="17" borderId="1" xfId="0" applyFont="1" applyFill="1" applyBorder="1" applyAlignment="1">
      <alignment horizontal="left" vertical="center"/>
    </xf>
    <xf numFmtId="0" fontId="6" fillId="9" borderId="4" xfId="0" applyFont="1" applyFill="1" applyBorder="1" applyAlignment="1">
      <alignment vertical="center"/>
    </xf>
    <xf numFmtId="0" fontId="12" fillId="11" borderId="1" xfId="2" applyFont="1" applyFill="1" applyBorder="1" applyAlignment="1" applyProtection="1">
      <alignment horizontal="center" vertical="center"/>
    </xf>
    <xf numFmtId="0" fontId="3" fillId="16" borderId="1" xfId="0" applyFont="1" applyFill="1" applyBorder="1" applyAlignment="1">
      <alignment horizontal="center" vertical="center"/>
    </xf>
    <xf numFmtId="0" fontId="4" fillId="10" borderId="1" xfId="0" applyFont="1" applyFill="1" applyBorder="1" applyAlignment="1">
      <alignment horizontal="center" vertical="center"/>
    </xf>
    <xf numFmtId="0" fontId="7" fillId="13" borderId="1" xfId="0" applyFont="1" applyFill="1" applyBorder="1" applyAlignment="1">
      <alignment horizontal="left" vertical="center" wrapText="1"/>
    </xf>
    <xf numFmtId="0" fontId="12" fillId="8" borderId="1" xfId="1" applyFont="1" applyFill="1" applyBorder="1" applyAlignment="1" applyProtection="1">
      <alignment horizontal="center" vertical="center"/>
    </xf>
    <xf numFmtId="164" fontId="3" fillId="0" borderId="1" xfId="0" applyNumberFormat="1" applyFont="1" applyFill="1" applyBorder="1" applyAlignment="1">
      <alignment horizontal="center" vertical="center"/>
    </xf>
  </cellXfs>
  <cellStyles count="4">
    <cellStyle name="Hiperlink" xfId="1" builtinId="8"/>
    <cellStyle name="Hyperlink 1" xfId="2" xr:uid="{00000000-0005-0000-0000-000006000000}"/>
    <cellStyle name="Normal" xfId="0" builtinId="0"/>
    <cellStyle name="Normal 2" xfId="3" xr:uid="{3E843DB1-E4BC-4003-AB0E-C816A0CFD44F}"/>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729FCF"/>
      <rgbColor rgb="FF993366"/>
      <rgbColor rgb="FFFFFFD7"/>
      <rgbColor rgb="FFDCEAF7"/>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FC1E5F5"/>
      <rgbColor rgb="FFEEEEEE"/>
      <rgbColor rgb="FFFEFFDE"/>
      <rgbColor rgb="FF82CAEC"/>
      <rgbColor rgb="FFFF99CC"/>
      <rgbColor rgb="FFCC99FF"/>
      <rgbColor rgb="FFF6C7AD"/>
      <rgbColor rgb="FF3366FF"/>
      <rgbColor rgb="FF33CCCC"/>
      <rgbColor rgb="FF99CC00"/>
      <rgbColor rgb="FFFFCC00"/>
      <rgbColor rgb="FFFF9900"/>
      <rgbColor rgb="FFE87331"/>
      <rgbColor rgb="FF467886"/>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1457280</xdr:colOff>
      <xdr:row>0</xdr:row>
      <xdr:rowOff>57240</xdr:rowOff>
    </xdr:from>
    <xdr:to>
      <xdr:col>3</xdr:col>
      <xdr:colOff>948600</xdr:colOff>
      <xdr:row>0</xdr:row>
      <xdr:rowOff>1629720</xdr:rowOff>
    </xdr:to>
    <xdr:pic>
      <xdr:nvPicPr>
        <xdr:cNvPr id="2" name="Imagem 2">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1"/>
        <a:stretch/>
      </xdr:blipFill>
      <xdr:spPr>
        <a:xfrm>
          <a:off x="2310120" y="57240"/>
          <a:ext cx="2808360" cy="15724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153720</xdr:rowOff>
    </xdr:to>
    <xdr:pic>
      <xdr:nvPicPr>
        <xdr:cNvPr id="2" name="Imagem 1">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1"/>
        <a:stretch/>
      </xdr:blipFill>
      <xdr:spPr>
        <a:xfrm>
          <a:off x="2495520" y="66600"/>
          <a:ext cx="1992960" cy="104904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153720</xdr:rowOff>
    </xdr:to>
    <xdr:pic>
      <xdr:nvPicPr>
        <xdr:cNvPr id="2" name="Imagem 1">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1"/>
        <a:stretch/>
      </xdr:blipFill>
      <xdr:spPr>
        <a:xfrm>
          <a:off x="2435040" y="66600"/>
          <a:ext cx="1992960" cy="1049040"/>
        </a:xfrm>
        <a:prstGeom prst="rect">
          <a:avLst/>
        </a:prstGeom>
        <a:ln w="0">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pa\Documents\SLDE\Manuten&#231;&#227;o%20predial\TR%20Licita&#231;&#227;o\Panilha_de_custos_e_formacao_de_precos-%20Man%20Predial%20atualizada%202022_final.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Google%20Drive%20MPF\Meu%20Drive\Documents\0%20-%20SLDE\2023\Preg&#245;es\Manuten&#231;&#227;o%20predial\Edital%20e%20Anexos%202\Edital%20e%20Anexos\ANEXO%20II%20-%20MODELO%20PROPOSTA%20E%20PLANILHA%20DE%20CUSTOS\ANEXO%20II%20-%20MODELO%20PROPOSTA%20E%20PLANILHA%20DE%20CUSTOS%20-%20PR-PA.xlsx" TargetMode="External"/><Relationship Id="rId2" Type="http://schemas.microsoft.com/office/2019/04/relationships/externalLinkLongPath" Target="/Google%20Drive%20MPF/Meu%20Drive/Documents/0%20-%20SLDE/2023/Preg&#245;es/Manuten&#231;&#227;o%20predial/Edital%20e%20Anexos%202/Edital%20e%20Anexos/ANEXO%20II%20-%20MODELO%20PROPOSTA%20E%20PLANILHA%20DE%20CUSTOS/ANEXO%20II%20-%20MODELO%20PROPOSTA%20E%20PLANILHA%20DE%20CUSTOS%20-%20PR-PA.xlsx?4321A8B7" TargetMode="External"/><Relationship Id="rId1" Type="http://schemas.openxmlformats.org/officeDocument/2006/relationships/externalLinkPath" Target="file:///\\4321A8B7\ANEXO%20II%20-%20MODELO%20PROPOSTA%20E%20PLANILHA%20DE%20CUSTOS%20-%20PR-PA.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prpa\Documents\SLDE\Manuten&#231;&#227;o%20predial\TR%20Licita&#231;&#227;o\Users\AppData\Local\Temp\contrata&#231;&#227;o%20emergencial\TR\Vigil&#226;ncia\Users\Usuario\Documents\Vigil&#226;ncia\MODELO-PLANILHA-PADRAO-MODULOS-IN-5-2017-ALTERADA-PELA-IN-7-2018-VIGILANCIA.xlsx?98A5A81E" TargetMode="External"/><Relationship Id="rId1" Type="http://schemas.openxmlformats.org/officeDocument/2006/relationships/externalLinkPath" Target="file:///\\98A5A81E\MODELO-PLANILHA-PADRAO-MODULOS-IN-5-2017-ALTERADA-PELA-IN-7-2018-VIGILA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 val="DADOS-ESTATISTICOS"/>
      <sheetName val="ENCARGOS-SOCIAIS-E-TRABALHISTAS"/>
      <sheetName val="Encarregado Geral de Obras"/>
      <sheetName val="Oficial de Manutenção"/>
      <sheetName val="Auxiliar de manutenção predial "/>
      <sheetName val="Eletrotécnico"/>
      <sheetName val="Uniforme"/>
    </sheetNames>
    <sheetDataSet>
      <sheetData sheetId="0">
        <row r="1">
          <cell r="B1" t="str">
            <v>RAMO:</v>
          </cell>
        </row>
        <row r="2">
          <cell r="B2" t="str">
            <v>UNIDADE GESTORA (SIGLA):</v>
          </cell>
          <cell r="F2" t="str">
            <v>XX/XX/20XX</v>
          </cell>
        </row>
        <row r="11">
          <cell r="F11" t="str">
            <v>XX/XX/20XX</v>
          </cell>
        </row>
        <row r="12">
          <cell r="D12"/>
        </row>
        <row r="15">
          <cell r="F15">
            <v>12</v>
          </cell>
        </row>
        <row r="19">
          <cell r="E19"/>
        </row>
        <row r="23">
          <cell r="D23"/>
        </row>
        <row r="25">
          <cell r="F25"/>
        </row>
        <row r="30">
          <cell r="F30">
            <v>1901.73</v>
          </cell>
        </row>
        <row r="31">
          <cell r="F31">
            <v>30</v>
          </cell>
        </row>
        <row r="32">
          <cell r="F32"/>
        </row>
        <row r="33">
          <cell r="F33"/>
        </row>
        <row r="34">
          <cell r="C34" t="str">
            <v>Outras Remunerações 1 (Especificar)</v>
          </cell>
          <cell r="F34"/>
        </row>
        <row r="35">
          <cell r="C35" t="str">
            <v>Outras Remunerações 2 (Especificar)</v>
          </cell>
          <cell r="D35"/>
          <cell r="E35"/>
          <cell r="F35"/>
        </row>
        <row r="36">
          <cell r="C36" t="str">
            <v>Outras Remunerações 3 (Especificar)</v>
          </cell>
          <cell r="D36"/>
          <cell r="E36"/>
          <cell r="F36"/>
        </row>
        <row r="41">
          <cell r="F41">
            <v>8</v>
          </cell>
        </row>
        <row r="43">
          <cell r="F43">
            <v>22</v>
          </cell>
        </row>
        <row r="44">
          <cell r="C44" t="str">
            <v>Outros Benefícios 1 (Especificar)</v>
          </cell>
        </row>
        <row r="45">
          <cell r="C45" t="str">
            <v>Outros Benefícios 2 (Especificar)</v>
          </cell>
          <cell r="F45"/>
        </row>
        <row r="46">
          <cell r="C46" t="str">
            <v>Outros Benefícios 3 (Especificar)</v>
          </cell>
          <cell r="F46"/>
        </row>
        <row r="51">
          <cell r="C51" t="str">
            <v>Outras Ausências (Especificar - em %)</v>
          </cell>
          <cell r="F51"/>
        </row>
        <row r="55">
          <cell r="F55"/>
        </row>
        <row r="56">
          <cell r="F56"/>
        </row>
        <row r="67">
          <cell r="F67">
            <v>5.1533333333333298</v>
          </cell>
        </row>
        <row r="68">
          <cell r="F68">
            <v>5.0466666666666704</v>
          </cell>
        </row>
        <row r="69">
          <cell r="F69"/>
        </row>
        <row r="70">
          <cell r="F70"/>
        </row>
        <row r="71">
          <cell r="F71"/>
        </row>
      </sheetData>
      <sheetData sheetId="1">
        <row r="4">
          <cell r="F4">
            <v>220</v>
          </cell>
        </row>
      </sheetData>
      <sheetData sheetId="2">
        <row r="5">
          <cell r="E5">
            <v>8.3333333333333304</v>
          </cell>
        </row>
        <row r="16">
          <cell r="E16">
            <v>8</v>
          </cell>
        </row>
        <row r="17">
          <cell r="E17">
            <v>36.799999999999997</v>
          </cell>
        </row>
        <row r="21">
          <cell r="E21">
            <v>1.15572693055556</v>
          </cell>
        </row>
      </sheetData>
      <sheetData sheetId="3"/>
      <sheetData sheetId="4"/>
      <sheetData sheetId="5"/>
      <sheetData sheetId="6"/>
      <sheetData sheetId="7">
        <row r="9">
          <cell r="B9">
            <v>115.05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MODELO PROPOSTA"/>
      <sheetName val="Cálculo do BDI"/>
      <sheetName val="Valor_Deslocamento"/>
      <sheetName val="Quantidade e valor de Diárias"/>
      <sheetName val="Encarregado Geral-Estimado"/>
      <sheetName val="Encarregado Geral"/>
      <sheetName val="Oficial de Manutenção-Estimado"/>
      <sheetName val="Oficial de Manutenção"/>
      <sheetName val="Auxiliar de Manutenção-Estimado"/>
      <sheetName val="Auxiliar de Manutenção"/>
      <sheetName val="Eletrotécnico-Estimado"/>
      <sheetName val="Eletrotécnico"/>
      <sheetName val="Uniforme"/>
      <sheetName val="Materiais de Reposição - PRPA"/>
      <sheetName val="ENCARGOS-SOCIAIS-E-TRABALHISTAS"/>
      <sheetName val="DADOS-ESTATIST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F5">
            <v>7</v>
          </cell>
        </row>
        <row r="8">
          <cell r="F8">
            <v>12</v>
          </cell>
        </row>
        <row r="18">
          <cell r="F18">
            <v>62.93</v>
          </cell>
        </row>
        <row r="19">
          <cell r="F19">
            <v>5.55</v>
          </cell>
        </row>
        <row r="20">
          <cell r="F20">
            <v>40</v>
          </cell>
        </row>
        <row r="21">
          <cell r="F21">
            <v>94.45</v>
          </cell>
        </row>
        <row r="22">
          <cell r="F22">
            <v>30</v>
          </cell>
        </row>
        <row r="27">
          <cell r="F27">
            <v>8</v>
          </cell>
        </row>
        <row r="28">
          <cell r="F28">
            <v>20</v>
          </cell>
        </row>
        <row r="29">
          <cell r="F29">
            <v>1.42</v>
          </cell>
        </row>
        <row r="30">
          <cell r="F30">
            <v>45.22</v>
          </cell>
        </row>
        <row r="31">
          <cell r="F31">
            <v>0.44472535049413925</v>
          </cell>
        </row>
        <row r="32">
          <cell r="F32">
            <v>15</v>
          </cell>
        </row>
        <row r="33">
          <cell r="F33">
            <v>180</v>
          </cell>
        </row>
        <row r="34">
          <cell r="F34">
            <v>54.78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s>
    <sheetDataSet>
      <sheetData sheetId="0" refreshError="1"/>
    </sheetDataSet>
  </externalBook>
</externalLink>
</file>

<file path=xl/theme/theme1.xml><?xml version="1.0" encoding="utf-8"?>
<a:theme xmlns:a="http://schemas.openxmlformats.org/drawingml/2006/main" name="Office Theme">
  <a:themeElements>
    <a:clrScheme name="Office">
      <a:dk1>
        <a:srgbClr val="000000"/>
      </a:dk1>
      <a:lt1>
        <a:srgbClr val="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ocupacoes.com.br/cbo-mte/514320-faxineir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6FAF4-00B7-418F-8FD8-E595013196AF}">
  <sheetPr>
    <pageSetUpPr fitToPage="1"/>
  </sheetPr>
  <dimension ref="A1:BL35"/>
  <sheetViews>
    <sheetView showGridLines="0" showRowColHeaders="0" tabSelected="1" view="pageBreakPreview" zoomScale="110" zoomScaleNormal="120" zoomScaleSheetLayoutView="110" zoomScalePageLayoutView="90" workbookViewId="0">
      <selection activeCell="E8" sqref="E8"/>
    </sheetView>
  </sheetViews>
  <sheetFormatPr defaultColWidth="8.88671875" defaultRowHeight="13.2" x14ac:dyDescent="0.25"/>
  <cols>
    <col min="1" max="1" width="7.6640625" style="110" customWidth="1"/>
    <col min="2" max="10" width="17.88671875" style="110" customWidth="1"/>
    <col min="11" max="64" width="11.6640625" style="110" customWidth="1"/>
    <col min="65" max="16384" width="8.88671875" style="110"/>
  </cols>
  <sheetData>
    <row r="1" spans="1:64" ht="12.75" customHeight="1" x14ac:dyDescent="0.25">
      <c r="A1" s="137" t="s">
        <v>528</v>
      </c>
      <c r="B1" s="137"/>
      <c r="C1" s="137"/>
      <c r="D1" s="137"/>
      <c r="E1" s="137"/>
      <c r="F1" s="137"/>
      <c r="G1" s="137"/>
      <c r="H1" s="137"/>
      <c r="I1" s="137"/>
      <c r="J1" s="137"/>
    </row>
    <row r="2" spans="1:64" ht="18" customHeight="1" x14ac:dyDescent="0.25">
      <c r="A2" s="137"/>
      <c r="B2" s="137"/>
      <c r="C2" s="137"/>
      <c r="D2" s="137"/>
      <c r="E2" s="137"/>
      <c r="F2" s="137"/>
      <c r="G2" s="137"/>
      <c r="H2" s="137"/>
      <c r="I2" s="137"/>
      <c r="J2" s="137"/>
    </row>
    <row r="4" spans="1:64" ht="17.399999999999999" x14ac:dyDescent="0.25">
      <c r="A4" s="138" t="s">
        <v>529</v>
      </c>
      <c r="B4" s="138"/>
      <c r="C4" s="138"/>
      <c r="D4" s="138"/>
      <c r="E4" s="138"/>
      <c r="F4" s="138"/>
      <c r="G4" s="138"/>
      <c r="H4" s="138"/>
      <c r="I4" s="138"/>
      <c r="J4" s="138"/>
    </row>
    <row r="8" spans="1:64" x14ac:dyDescent="0.25">
      <c r="A8" s="111"/>
      <c r="B8" s="112"/>
      <c r="C8" s="112"/>
      <c r="D8" s="112"/>
      <c r="E8" s="112"/>
      <c r="F8" s="112"/>
      <c r="G8" s="112"/>
      <c r="H8" s="112"/>
      <c r="I8" s="112"/>
      <c r="J8" s="112"/>
      <c r="K8" s="112"/>
      <c r="L8" s="112"/>
      <c r="M8" s="112"/>
      <c r="N8" s="112"/>
      <c r="O8" s="112"/>
      <c r="P8" s="112"/>
      <c r="Q8" s="112"/>
      <c r="R8" s="112"/>
      <c r="S8" s="112"/>
      <c r="T8" s="112"/>
      <c r="U8" s="112"/>
      <c r="V8" s="112"/>
      <c r="W8" s="112"/>
      <c r="X8" s="112"/>
      <c r="Y8" s="112"/>
      <c r="Z8" s="112"/>
      <c r="AA8" s="112"/>
      <c r="AB8" s="112"/>
      <c r="AC8" s="112"/>
      <c r="AD8" s="112"/>
      <c r="AE8" s="112"/>
      <c r="AF8" s="112"/>
      <c r="AG8" s="112"/>
      <c r="AH8" s="112"/>
      <c r="AI8" s="112"/>
      <c r="AJ8" s="112"/>
      <c r="AK8" s="112"/>
      <c r="AL8" s="112"/>
      <c r="AM8" s="112"/>
      <c r="AN8" s="112"/>
      <c r="AO8" s="112"/>
      <c r="AP8" s="112"/>
      <c r="AQ8" s="112"/>
      <c r="AR8" s="112"/>
      <c r="AS8" s="112"/>
      <c r="AT8" s="112"/>
      <c r="AU8" s="112"/>
      <c r="AV8" s="112"/>
      <c r="AW8" s="112"/>
      <c r="AX8" s="112"/>
      <c r="AY8" s="112"/>
      <c r="AZ8" s="112"/>
      <c r="BA8" s="112"/>
      <c r="BB8" s="112"/>
      <c r="BC8" s="112"/>
      <c r="BD8" s="112"/>
      <c r="BE8" s="112"/>
      <c r="BF8" s="112"/>
      <c r="BG8" s="112"/>
      <c r="BH8" s="112"/>
      <c r="BI8" s="112"/>
      <c r="BJ8" s="112"/>
      <c r="BK8" s="112"/>
      <c r="BL8" s="112"/>
    </row>
    <row r="9" spans="1:64" ht="12.75" customHeight="1" x14ac:dyDescent="0.25">
      <c r="A9" s="113">
        <v>1</v>
      </c>
      <c r="B9" s="134" t="s">
        <v>530</v>
      </c>
      <c r="C9" s="134"/>
      <c r="D9" s="134"/>
      <c r="E9" s="134"/>
      <c r="F9" s="134"/>
      <c r="G9" s="134"/>
      <c r="H9" s="134"/>
      <c r="I9" s="134"/>
      <c r="J9" s="134"/>
      <c r="K9" s="112"/>
      <c r="L9" s="112"/>
      <c r="M9" s="112"/>
      <c r="N9" s="112"/>
      <c r="O9" s="112"/>
      <c r="P9" s="112"/>
      <c r="Q9" s="112"/>
      <c r="R9" s="112"/>
      <c r="S9" s="112"/>
      <c r="T9" s="112"/>
      <c r="U9" s="112"/>
      <c r="V9" s="112"/>
      <c r="W9" s="112"/>
      <c r="X9" s="112"/>
      <c r="Y9" s="112"/>
      <c r="Z9" s="112"/>
      <c r="AA9" s="112"/>
      <c r="AB9" s="112"/>
      <c r="AC9" s="112"/>
      <c r="AD9" s="112"/>
      <c r="AE9" s="112"/>
      <c r="AF9" s="112"/>
      <c r="AG9" s="112"/>
      <c r="AH9" s="112"/>
      <c r="AI9" s="112"/>
      <c r="AJ9" s="112"/>
      <c r="AK9" s="112"/>
      <c r="AL9" s="112"/>
      <c r="AM9" s="112"/>
      <c r="AN9" s="112"/>
      <c r="AO9" s="112"/>
      <c r="AP9" s="112"/>
      <c r="AQ9" s="112"/>
      <c r="AR9" s="112"/>
      <c r="AS9" s="112"/>
      <c r="AT9" s="112"/>
      <c r="AU9" s="112"/>
      <c r="AV9" s="112"/>
      <c r="AW9" s="112"/>
      <c r="AX9" s="112"/>
      <c r="AY9" s="112"/>
      <c r="AZ9" s="112"/>
      <c r="BA9" s="112"/>
      <c r="BB9" s="112"/>
      <c r="BC9" s="112"/>
      <c r="BD9" s="112"/>
      <c r="BE9" s="112"/>
      <c r="BF9" s="112"/>
      <c r="BG9" s="112"/>
      <c r="BH9" s="112"/>
      <c r="BI9" s="112"/>
      <c r="BJ9" s="112"/>
      <c r="BK9" s="112"/>
      <c r="BL9" s="112"/>
    </row>
    <row r="10" spans="1:64" x14ac:dyDescent="0.25">
      <c r="A10" s="115"/>
      <c r="B10" s="115"/>
      <c r="C10" s="115"/>
      <c r="D10" s="115"/>
      <c r="E10" s="115"/>
      <c r="F10" s="115"/>
      <c r="G10" s="115"/>
      <c r="H10" s="115"/>
      <c r="I10" s="115"/>
      <c r="J10" s="115"/>
    </row>
    <row r="11" spans="1:64" ht="24.6" customHeight="1" x14ac:dyDescent="0.25">
      <c r="A11" s="113">
        <v>2</v>
      </c>
      <c r="B11" s="134" t="s">
        <v>531</v>
      </c>
      <c r="C11" s="134"/>
      <c r="D11" s="134"/>
      <c r="E11" s="134"/>
      <c r="F11" s="134"/>
      <c r="G11" s="134"/>
      <c r="H11" s="134"/>
      <c r="I11" s="134"/>
      <c r="J11" s="134"/>
    </row>
    <row r="12" spans="1:64" x14ac:dyDescent="0.25">
      <c r="A12" s="113"/>
      <c r="B12" s="116"/>
      <c r="C12" s="116"/>
      <c r="D12" s="116"/>
      <c r="E12" s="117"/>
      <c r="F12" s="118"/>
      <c r="G12" s="118"/>
      <c r="H12" s="116"/>
      <c r="I12" s="118"/>
      <c r="J12" s="118"/>
    </row>
    <row r="13" spans="1:64" ht="24.6" customHeight="1" x14ac:dyDescent="0.25">
      <c r="A13" s="113">
        <v>3</v>
      </c>
      <c r="B13" s="134" t="s">
        <v>532</v>
      </c>
      <c r="C13" s="134"/>
      <c r="D13" s="134"/>
      <c r="E13" s="134"/>
      <c r="F13" s="134"/>
      <c r="G13" s="134"/>
      <c r="H13" s="134"/>
      <c r="I13" s="134"/>
      <c r="J13" s="134"/>
    </row>
    <row r="14" spans="1:64" x14ac:dyDescent="0.25">
      <c r="A14" s="113"/>
      <c r="B14" s="116"/>
      <c r="C14" s="116"/>
      <c r="D14" s="116"/>
      <c r="E14" s="117"/>
      <c r="F14" s="118"/>
      <c r="G14" s="118"/>
      <c r="H14" s="116"/>
      <c r="I14" s="118"/>
      <c r="J14" s="118"/>
    </row>
    <row r="15" spans="1:64" ht="24.6" customHeight="1" x14ac:dyDescent="0.25">
      <c r="A15" s="113">
        <v>4</v>
      </c>
      <c r="B15" s="134" t="s">
        <v>533</v>
      </c>
      <c r="C15" s="134"/>
      <c r="D15" s="134"/>
      <c r="E15" s="134"/>
      <c r="F15" s="134"/>
      <c r="G15" s="134"/>
      <c r="H15" s="134"/>
      <c r="I15" s="134"/>
      <c r="J15" s="134"/>
    </row>
    <row r="16" spans="1:64" x14ac:dyDescent="0.25">
      <c r="A16" s="113"/>
      <c r="B16" s="114"/>
      <c r="C16" s="114"/>
      <c r="D16" s="114"/>
      <c r="E16" s="114"/>
      <c r="F16" s="114"/>
      <c r="G16" s="114"/>
      <c r="H16" s="114"/>
      <c r="I16" s="114"/>
      <c r="J16" s="114"/>
    </row>
    <row r="17" spans="1:10" ht="12.9" customHeight="1" x14ac:dyDescent="0.25">
      <c r="A17" s="113">
        <v>5</v>
      </c>
      <c r="B17" s="134" t="s">
        <v>534</v>
      </c>
      <c r="C17" s="134"/>
      <c r="D17" s="134"/>
      <c r="E17" s="134"/>
      <c r="F17" s="134"/>
      <c r="G17" s="134"/>
      <c r="H17" s="134"/>
      <c r="I17" s="134"/>
      <c r="J17" s="134"/>
    </row>
    <row r="18" spans="1:10" x14ac:dyDescent="0.25">
      <c r="A18" s="113"/>
      <c r="B18" s="116"/>
      <c r="C18" s="116"/>
      <c r="D18" s="116"/>
      <c r="E18" s="117"/>
      <c r="F18" s="118"/>
      <c r="G18" s="118"/>
      <c r="H18" s="116"/>
      <c r="I18" s="118"/>
      <c r="J18" s="118"/>
    </row>
    <row r="19" spans="1:10" ht="45" customHeight="1" x14ac:dyDescent="0.25">
      <c r="A19" s="113">
        <v>6</v>
      </c>
      <c r="B19" s="134" t="s">
        <v>535</v>
      </c>
      <c r="C19" s="134"/>
      <c r="D19" s="134"/>
      <c r="E19" s="134"/>
      <c r="F19" s="134"/>
      <c r="G19" s="134"/>
      <c r="H19" s="134"/>
      <c r="I19" s="134"/>
      <c r="J19" s="134"/>
    </row>
    <row r="20" spans="1:10" x14ac:dyDescent="0.25">
      <c r="A20" s="113"/>
      <c r="B20" s="114"/>
      <c r="C20" s="114"/>
      <c r="D20" s="114"/>
      <c r="E20" s="114"/>
      <c r="F20" s="114"/>
      <c r="G20" s="114"/>
      <c r="H20" s="114"/>
      <c r="I20" s="114"/>
      <c r="J20" s="114"/>
    </row>
    <row r="21" spans="1:10" ht="30.75" customHeight="1" x14ac:dyDescent="0.25">
      <c r="A21" s="119">
        <v>7</v>
      </c>
      <c r="B21" s="134" t="s">
        <v>536</v>
      </c>
      <c r="C21" s="134"/>
      <c r="D21" s="134"/>
      <c r="E21" s="134"/>
      <c r="F21" s="134"/>
      <c r="G21" s="134"/>
      <c r="H21" s="134"/>
      <c r="I21" s="134"/>
      <c r="J21" s="134"/>
    </row>
    <row r="23" spans="1:10" ht="27.75" customHeight="1" x14ac:dyDescent="0.25">
      <c r="A23" s="113">
        <v>8</v>
      </c>
      <c r="B23" s="134" t="s">
        <v>537</v>
      </c>
      <c r="C23" s="134"/>
      <c r="D23" s="134"/>
      <c r="E23" s="134"/>
      <c r="F23" s="134"/>
      <c r="G23" s="134"/>
      <c r="H23" s="134"/>
      <c r="I23" s="134"/>
      <c r="J23" s="134"/>
    </row>
    <row r="24" spans="1:10" ht="10.5" customHeight="1" x14ac:dyDescent="0.25"/>
    <row r="25" spans="1:10" ht="26.25" customHeight="1" x14ac:dyDescent="0.25">
      <c r="A25" s="113"/>
      <c r="B25" s="134"/>
      <c r="C25" s="134"/>
      <c r="D25" s="134"/>
      <c r="E25" s="134"/>
      <c r="F25" s="134"/>
      <c r="G25" s="134"/>
      <c r="H25" s="134"/>
      <c r="I25" s="134"/>
      <c r="J25" s="134"/>
    </row>
    <row r="26" spans="1:10" ht="14.25" customHeight="1" x14ac:dyDescent="0.25"/>
    <row r="27" spans="1:10" ht="39.75" customHeight="1" x14ac:dyDescent="0.25">
      <c r="A27" s="113"/>
      <c r="B27" s="134"/>
      <c r="C27" s="134"/>
      <c r="D27" s="134"/>
      <c r="E27" s="134"/>
      <c r="F27" s="134"/>
      <c r="G27" s="134"/>
      <c r="H27" s="134"/>
      <c r="I27" s="134"/>
      <c r="J27" s="134"/>
    </row>
    <row r="29" spans="1:10" x14ac:dyDescent="0.25">
      <c r="A29" s="113"/>
      <c r="B29" s="134"/>
      <c r="C29" s="134"/>
      <c r="D29" s="134"/>
      <c r="E29" s="134"/>
      <c r="F29" s="134"/>
      <c r="G29" s="134"/>
      <c r="H29" s="134"/>
      <c r="I29" s="134"/>
      <c r="J29" s="134"/>
    </row>
    <row r="31" spans="1:10" ht="30" customHeight="1" x14ac:dyDescent="0.25">
      <c r="A31" s="113"/>
      <c r="B31" s="134"/>
      <c r="C31" s="134"/>
      <c r="D31" s="134"/>
      <c r="E31" s="134"/>
      <c r="F31" s="134"/>
      <c r="G31" s="134"/>
      <c r="H31" s="134"/>
      <c r="I31" s="134"/>
      <c r="J31" s="134"/>
    </row>
    <row r="33" spans="1:10" ht="35.25" customHeight="1" x14ac:dyDescent="0.25">
      <c r="A33" s="113"/>
      <c r="B33" s="135"/>
      <c r="C33" s="135"/>
      <c r="D33" s="135"/>
      <c r="E33" s="135"/>
      <c r="F33" s="135"/>
      <c r="G33" s="135"/>
      <c r="H33" s="135"/>
      <c r="I33" s="135"/>
      <c r="J33" s="135"/>
    </row>
    <row r="35" spans="1:10" x14ac:dyDescent="0.25">
      <c r="A35" s="113"/>
      <c r="B35" s="136"/>
      <c r="C35" s="136"/>
      <c r="D35" s="136"/>
      <c r="E35" s="136"/>
      <c r="F35" s="136"/>
      <c r="G35" s="136"/>
      <c r="H35" s="136"/>
      <c r="I35" s="136"/>
      <c r="J35" s="136"/>
    </row>
  </sheetData>
  <mergeCells count="16">
    <mergeCell ref="B15:J15"/>
    <mergeCell ref="A1:J2"/>
    <mergeCell ref="A4:J4"/>
    <mergeCell ref="B9:J9"/>
    <mergeCell ref="B11:J11"/>
    <mergeCell ref="B13:J13"/>
    <mergeCell ref="B29:J29"/>
    <mergeCell ref="B31:J31"/>
    <mergeCell ref="B33:J33"/>
    <mergeCell ref="B35:J35"/>
    <mergeCell ref="B17:J17"/>
    <mergeCell ref="B19:J19"/>
    <mergeCell ref="B21:J21"/>
    <mergeCell ref="B23:J23"/>
    <mergeCell ref="B25:J25"/>
    <mergeCell ref="B27:J27"/>
  </mergeCells>
  <printOptions horizontalCentered="1" verticalCentered="1"/>
  <pageMargins left="0.78749999999999998" right="0.78749999999999998" top="1.2993055555555599" bottom="0.94513888888888897" header="0.78749999999999998" footer="0.78749999999999998"/>
  <pageSetup paperSize="9" scale="76" orientation="landscape" useFirstPageNumber="1" horizontalDpi="300" verticalDpi="300" r:id="rId1"/>
  <headerFooter>
    <oddHeader>&amp;RPregão Eletrônico PR/PI nº 1/2022
Anexo II - Modelo de Proposta e Planilha de Custos e Formação do Valor Estimado</oddHeader>
    <oddFooter>&amp;L&amp;A&amp;R&amp;P/&amp;N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99"/>
  <sheetViews>
    <sheetView zoomScaleNormal="100" workbookViewId="0">
      <selection activeCell="D3" sqref="D3"/>
    </sheetView>
  </sheetViews>
  <sheetFormatPr defaultColWidth="8.6640625" defaultRowHeight="14.4" x14ac:dyDescent="0.3"/>
  <cols>
    <col min="2" max="2" width="57.44140625" customWidth="1"/>
    <col min="3" max="3" width="28.44140625" customWidth="1"/>
    <col min="4" max="4" width="14.33203125" customWidth="1"/>
    <col min="5" max="5" width="17.88671875" customWidth="1"/>
    <col min="6" max="6" width="14.44140625" customWidth="1"/>
    <col min="7" max="7" width="15.33203125" customWidth="1"/>
  </cols>
  <sheetData>
    <row r="1" spans="1:7" s="11" customFormat="1" ht="19.5" customHeight="1" x14ac:dyDescent="0.3">
      <c r="A1" s="152" t="s">
        <v>178</v>
      </c>
      <c r="B1" s="152"/>
      <c r="C1" s="152"/>
      <c r="D1" s="152"/>
      <c r="E1" s="152"/>
      <c r="F1" s="152"/>
      <c r="G1" s="152"/>
    </row>
    <row r="2" spans="1:7" s="11" customFormat="1" ht="19.5" customHeight="1" x14ac:dyDescent="0.3">
      <c r="A2" s="45" t="s">
        <v>1</v>
      </c>
      <c r="B2" s="45" t="s">
        <v>89</v>
      </c>
      <c r="C2" s="45" t="s">
        <v>72</v>
      </c>
      <c r="D2" s="45" t="s">
        <v>90</v>
      </c>
      <c r="E2" s="32" t="s">
        <v>62</v>
      </c>
      <c r="F2" s="32" t="s">
        <v>112</v>
      </c>
      <c r="G2" s="32" t="s">
        <v>74</v>
      </c>
    </row>
    <row r="3" spans="1:7" s="11" customFormat="1" ht="19.5" customHeight="1" x14ac:dyDescent="0.3">
      <c r="A3" s="3">
        <v>1</v>
      </c>
      <c r="B3" s="33" t="s">
        <v>179</v>
      </c>
      <c r="C3" s="3" t="s">
        <v>180</v>
      </c>
      <c r="D3" s="125">
        <v>11.56</v>
      </c>
      <c r="E3" s="46">
        <v>4</v>
      </c>
      <c r="F3" s="7"/>
      <c r="G3" s="47">
        <f t="shared" ref="G3:G34" si="0">TRUNC((D3*E3),2)</f>
        <v>46.24</v>
      </c>
    </row>
    <row r="4" spans="1:7" s="11" customFormat="1" ht="19.5" customHeight="1" x14ac:dyDescent="0.3">
      <c r="A4" s="3">
        <v>2</v>
      </c>
      <c r="B4" s="33" t="s">
        <v>181</v>
      </c>
      <c r="C4" s="3" t="s">
        <v>182</v>
      </c>
      <c r="D4" s="125">
        <v>9.7100000000000009</v>
      </c>
      <c r="E4" s="7"/>
      <c r="F4" s="46" t="s">
        <v>115</v>
      </c>
      <c r="G4" s="47">
        <f t="shared" si="0"/>
        <v>0</v>
      </c>
    </row>
    <row r="5" spans="1:7" s="11" customFormat="1" ht="19.5" customHeight="1" x14ac:dyDescent="0.3">
      <c r="A5" s="3">
        <v>3</v>
      </c>
      <c r="B5" s="33" t="s">
        <v>183</v>
      </c>
      <c r="C5" s="3" t="s">
        <v>182</v>
      </c>
      <c r="D5" s="125">
        <v>28.82</v>
      </c>
      <c r="E5" s="46">
        <v>2</v>
      </c>
      <c r="F5" s="7"/>
      <c r="G5" s="47">
        <f t="shared" si="0"/>
        <v>57.64</v>
      </c>
    </row>
    <row r="6" spans="1:7" s="11" customFormat="1" ht="19.5" customHeight="1" x14ac:dyDescent="0.3">
      <c r="A6" s="3">
        <v>4</v>
      </c>
      <c r="B6" s="33" t="s">
        <v>184</v>
      </c>
      <c r="C6" s="3" t="s">
        <v>182</v>
      </c>
      <c r="D6" s="125">
        <v>46.23</v>
      </c>
      <c r="E6" s="46">
        <v>1</v>
      </c>
      <c r="F6" s="7"/>
      <c r="G6" s="47">
        <f t="shared" si="0"/>
        <v>46.23</v>
      </c>
    </row>
    <row r="7" spans="1:7" s="11" customFormat="1" ht="19.5" customHeight="1" x14ac:dyDescent="0.3">
      <c r="A7" s="3">
        <v>5</v>
      </c>
      <c r="B7" s="33" t="s">
        <v>185</v>
      </c>
      <c r="C7" s="3" t="s">
        <v>186</v>
      </c>
      <c r="D7" s="125">
        <v>9.7799999999999994</v>
      </c>
      <c r="E7" s="7"/>
      <c r="F7" s="46" t="s">
        <v>115</v>
      </c>
      <c r="G7" s="47">
        <f t="shared" si="0"/>
        <v>0</v>
      </c>
    </row>
    <row r="8" spans="1:7" s="11" customFormat="1" ht="19.5" customHeight="1" x14ac:dyDescent="0.3">
      <c r="A8" s="3">
        <v>6</v>
      </c>
      <c r="B8" s="33" t="s">
        <v>187</v>
      </c>
      <c r="C8" s="3" t="s">
        <v>96</v>
      </c>
      <c r="D8" s="125">
        <v>21.32</v>
      </c>
      <c r="E8" s="46">
        <v>1</v>
      </c>
      <c r="F8" s="7"/>
      <c r="G8" s="47">
        <f t="shared" si="0"/>
        <v>21.32</v>
      </c>
    </row>
    <row r="9" spans="1:7" s="11" customFormat="1" ht="19.5" customHeight="1" x14ac:dyDescent="0.3">
      <c r="A9" s="3">
        <v>7</v>
      </c>
      <c r="B9" s="33" t="s">
        <v>188</v>
      </c>
      <c r="C9" s="3" t="s">
        <v>96</v>
      </c>
      <c r="D9" s="125">
        <v>45.5</v>
      </c>
      <c r="E9" s="7"/>
      <c r="F9" s="46" t="s">
        <v>115</v>
      </c>
      <c r="G9" s="47">
        <f t="shared" si="0"/>
        <v>0</v>
      </c>
    </row>
    <row r="10" spans="1:7" s="11" customFormat="1" ht="19.5" customHeight="1" x14ac:dyDescent="0.3">
      <c r="A10" s="3">
        <v>8</v>
      </c>
      <c r="B10" s="33" t="s">
        <v>189</v>
      </c>
      <c r="C10" s="3" t="s">
        <v>96</v>
      </c>
      <c r="D10" s="125">
        <v>22.32</v>
      </c>
      <c r="E10" s="7"/>
      <c r="F10" s="46" t="s">
        <v>115</v>
      </c>
      <c r="G10" s="47">
        <f t="shared" si="0"/>
        <v>0</v>
      </c>
    </row>
    <row r="11" spans="1:7" s="11" customFormat="1" ht="19.5" customHeight="1" x14ac:dyDescent="0.3">
      <c r="A11" s="3">
        <v>9</v>
      </c>
      <c r="B11" s="33" t="s">
        <v>190</v>
      </c>
      <c r="C11" s="3" t="s">
        <v>93</v>
      </c>
      <c r="D11" s="125">
        <v>50.02</v>
      </c>
      <c r="E11" s="7"/>
      <c r="F11" s="46" t="s">
        <v>115</v>
      </c>
      <c r="G11" s="47">
        <f t="shared" si="0"/>
        <v>0</v>
      </c>
    </row>
    <row r="12" spans="1:7" s="11" customFormat="1" ht="19.5" customHeight="1" x14ac:dyDescent="0.3">
      <c r="A12" s="3">
        <v>10</v>
      </c>
      <c r="B12" s="33" t="s">
        <v>191</v>
      </c>
      <c r="C12" s="3" t="s">
        <v>93</v>
      </c>
      <c r="D12" s="125">
        <v>57.32</v>
      </c>
      <c r="E12" s="7"/>
      <c r="F12" s="46" t="s">
        <v>115</v>
      </c>
      <c r="G12" s="47">
        <f t="shared" si="0"/>
        <v>0</v>
      </c>
    </row>
    <row r="13" spans="1:7" s="11" customFormat="1" ht="19.5" customHeight="1" x14ac:dyDescent="0.3">
      <c r="A13" s="3">
        <v>11</v>
      </c>
      <c r="B13" s="33" t="s">
        <v>192</v>
      </c>
      <c r="C13" s="3" t="s">
        <v>96</v>
      </c>
      <c r="D13" s="125">
        <v>27.61</v>
      </c>
      <c r="E13" s="7"/>
      <c r="F13" s="46" t="s">
        <v>115</v>
      </c>
      <c r="G13" s="47">
        <f t="shared" si="0"/>
        <v>0</v>
      </c>
    </row>
    <row r="14" spans="1:7" s="11" customFormat="1" ht="19.5" customHeight="1" x14ac:dyDescent="0.3">
      <c r="A14" s="3">
        <v>12</v>
      </c>
      <c r="B14" s="33" t="s">
        <v>193</v>
      </c>
      <c r="C14" s="3" t="s">
        <v>194</v>
      </c>
      <c r="D14" s="125">
        <v>2.0499999999999998</v>
      </c>
      <c r="E14" s="7"/>
      <c r="F14" s="46" t="s">
        <v>115</v>
      </c>
      <c r="G14" s="47">
        <f t="shared" si="0"/>
        <v>0</v>
      </c>
    </row>
    <row r="15" spans="1:7" s="11" customFormat="1" ht="19.5" customHeight="1" x14ac:dyDescent="0.3">
      <c r="A15" s="3">
        <v>13</v>
      </c>
      <c r="B15" s="33" t="s">
        <v>195</v>
      </c>
      <c r="C15" s="3" t="s">
        <v>96</v>
      </c>
      <c r="D15" s="125">
        <v>9.02</v>
      </c>
      <c r="E15" s="46">
        <v>1</v>
      </c>
      <c r="F15" s="7"/>
      <c r="G15" s="47">
        <f t="shared" si="0"/>
        <v>9.02</v>
      </c>
    </row>
    <row r="16" spans="1:7" s="11" customFormat="1" ht="19.5" customHeight="1" x14ac:dyDescent="0.3">
      <c r="A16" s="3">
        <v>14</v>
      </c>
      <c r="B16" s="33" t="s">
        <v>196</v>
      </c>
      <c r="C16" s="3" t="s">
        <v>96</v>
      </c>
      <c r="D16" s="125">
        <v>10.050000000000001</v>
      </c>
      <c r="E16" s="46">
        <v>1</v>
      </c>
      <c r="F16" s="7"/>
      <c r="G16" s="47">
        <f t="shared" si="0"/>
        <v>10.050000000000001</v>
      </c>
    </row>
    <row r="17" spans="1:7" s="11" customFormat="1" ht="19.5" customHeight="1" x14ac:dyDescent="0.3">
      <c r="A17" s="3">
        <v>15</v>
      </c>
      <c r="B17" s="33" t="s">
        <v>197</v>
      </c>
      <c r="C17" s="3" t="s">
        <v>180</v>
      </c>
      <c r="D17" s="125">
        <v>13.92</v>
      </c>
      <c r="E17" s="46">
        <v>4</v>
      </c>
      <c r="F17" s="7"/>
      <c r="G17" s="47">
        <f t="shared" si="0"/>
        <v>55.68</v>
      </c>
    </row>
    <row r="18" spans="1:7" s="11" customFormat="1" ht="19.5" customHeight="1" x14ac:dyDescent="0.3">
      <c r="A18" s="3">
        <v>16</v>
      </c>
      <c r="B18" s="33" t="s">
        <v>198</v>
      </c>
      <c r="C18" s="3" t="s">
        <v>93</v>
      </c>
      <c r="D18" s="125">
        <v>11.38</v>
      </c>
      <c r="E18" s="46">
        <v>12</v>
      </c>
      <c r="F18" s="7"/>
      <c r="G18" s="47">
        <f t="shared" si="0"/>
        <v>136.56</v>
      </c>
    </row>
    <row r="19" spans="1:7" s="11" customFormat="1" ht="19.5" customHeight="1" x14ac:dyDescent="0.3">
      <c r="A19" s="3">
        <v>17</v>
      </c>
      <c r="B19" s="33" t="s">
        <v>199</v>
      </c>
      <c r="C19" s="3" t="s">
        <v>96</v>
      </c>
      <c r="D19" s="125">
        <v>24.71</v>
      </c>
      <c r="E19" s="46">
        <v>2</v>
      </c>
      <c r="F19" s="7"/>
      <c r="G19" s="47">
        <f t="shared" si="0"/>
        <v>49.42</v>
      </c>
    </row>
    <row r="20" spans="1:7" s="11" customFormat="1" ht="19.5" customHeight="1" x14ac:dyDescent="0.3">
      <c r="A20" s="3">
        <v>18</v>
      </c>
      <c r="B20" s="48" t="s">
        <v>200</v>
      </c>
      <c r="C20" s="3" t="s">
        <v>96</v>
      </c>
      <c r="D20" s="125">
        <v>26.21</v>
      </c>
      <c r="E20" s="46">
        <v>2</v>
      </c>
      <c r="F20" s="7"/>
      <c r="G20" s="47">
        <f t="shared" si="0"/>
        <v>52.42</v>
      </c>
    </row>
    <row r="21" spans="1:7" s="11" customFormat="1" ht="19.5" customHeight="1" x14ac:dyDescent="0.3">
      <c r="A21" s="3">
        <v>19</v>
      </c>
      <c r="B21" s="49" t="s">
        <v>201</v>
      </c>
      <c r="C21" s="3" t="s">
        <v>96</v>
      </c>
      <c r="D21" s="125">
        <v>36.65</v>
      </c>
      <c r="E21" s="7"/>
      <c r="F21" s="46" t="s">
        <v>115</v>
      </c>
      <c r="G21" s="47">
        <f t="shared" si="0"/>
        <v>0</v>
      </c>
    </row>
    <row r="22" spans="1:7" s="11" customFormat="1" ht="19.5" customHeight="1" x14ac:dyDescent="0.3">
      <c r="A22" s="3">
        <v>20</v>
      </c>
      <c r="B22" s="33" t="s">
        <v>202</v>
      </c>
      <c r="C22" s="3" t="s">
        <v>96</v>
      </c>
      <c r="D22" s="125">
        <v>14.62</v>
      </c>
      <c r="E22" s="7"/>
      <c r="F22" s="46" t="s">
        <v>115</v>
      </c>
      <c r="G22" s="47">
        <f t="shared" si="0"/>
        <v>0</v>
      </c>
    </row>
    <row r="23" spans="1:7" s="11" customFormat="1" ht="19.5" customHeight="1" x14ac:dyDescent="0.3">
      <c r="A23" s="3">
        <v>21</v>
      </c>
      <c r="B23" s="33" t="s">
        <v>203</v>
      </c>
      <c r="C23" s="3" t="s">
        <v>96</v>
      </c>
      <c r="D23" s="125">
        <v>2.82</v>
      </c>
      <c r="E23" s="46">
        <v>2</v>
      </c>
      <c r="F23" s="7"/>
      <c r="G23" s="47">
        <f t="shared" si="0"/>
        <v>5.64</v>
      </c>
    </row>
    <row r="24" spans="1:7" s="11" customFormat="1" ht="19.5" customHeight="1" x14ac:dyDescent="0.3">
      <c r="A24" s="3">
        <v>22</v>
      </c>
      <c r="B24" s="33" t="s">
        <v>204</v>
      </c>
      <c r="C24" s="3" t="s">
        <v>96</v>
      </c>
      <c r="D24" s="125">
        <v>6.37</v>
      </c>
      <c r="E24" s="46">
        <v>2</v>
      </c>
      <c r="F24" s="7"/>
      <c r="G24" s="47">
        <f t="shared" si="0"/>
        <v>12.74</v>
      </c>
    </row>
    <row r="25" spans="1:7" s="11" customFormat="1" ht="19.5" customHeight="1" x14ac:dyDescent="0.3">
      <c r="A25" s="3">
        <v>23</v>
      </c>
      <c r="B25" s="33" t="s">
        <v>205</v>
      </c>
      <c r="C25" s="3" t="s">
        <v>96</v>
      </c>
      <c r="D25" s="125">
        <v>9.33</v>
      </c>
      <c r="E25" s="46">
        <v>2</v>
      </c>
      <c r="F25" s="7"/>
      <c r="G25" s="47">
        <f t="shared" si="0"/>
        <v>18.66</v>
      </c>
    </row>
    <row r="26" spans="1:7" s="11" customFormat="1" ht="19.5" customHeight="1" x14ac:dyDescent="0.3">
      <c r="A26" s="3">
        <v>24</v>
      </c>
      <c r="B26" s="33" t="s">
        <v>206</v>
      </c>
      <c r="C26" s="3" t="s">
        <v>96</v>
      </c>
      <c r="D26" s="125">
        <v>8.08</v>
      </c>
      <c r="E26" s="46">
        <v>2</v>
      </c>
      <c r="F26" s="7"/>
      <c r="G26" s="47">
        <f t="shared" si="0"/>
        <v>16.16</v>
      </c>
    </row>
    <row r="27" spans="1:7" s="11" customFormat="1" ht="19.5" customHeight="1" x14ac:dyDescent="0.3">
      <c r="A27" s="3">
        <v>25</v>
      </c>
      <c r="B27" s="33" t="s">
        <v>207</v>
      </c>
      <c r="C27" s="3" t="s">
        <v>96</v>
      </c>
      <c r="D27" s="125">
        <v>1.43</v>
      </c>
      <c r="E27" s="50">
        <v>3</v>
      </c>
      <c r="F27" s="7"/>
      <c r="G27" s="47">
        <f t="shared" si="0"/>
        <v>4.29</v>
      </c>
    </row>
    <row r="28" spans="1:7" s="11" customFormat="1" ht="19.5" customHeight="1" x14ac:dyDescent="0.3">
      <c r="A28" s="3">
        <v>26</v>
      </c>
      <c r="B28" s="33" t="s">
        <v>208</v>
      </c>
      <c r="C28" s="3" t="s">
        <v>96</v>
      </c>
      <c r="D28" s="125">
        <v>27.42</v>
      </c>
      <c r="E28" s="46">
        <v>1</v>
      </c>
      <c r="F28" s="7"/>
      <c r="G28" s="47">
        <f t="shared" si="0"/>
        <v>27.42</v>
      </c>
    </row>
    <row r="29" spans="1:7" s="11" customFormat="1" ht="19.5" customHeight="1" x14ac:dyDescent="0.3">
      <c r="A29" s="3">
        <v>27</v>
      </c>
      <c r="B29" s="33" t="s">
        <v>209</v>
      </c>
      <c r="C29" s="3" t="s">
        <v>96</v>
      </c>
      <c r="D29" s="125">
        <v>66.930000000000007</v>
      </c>
      <c r="E29" s="46">
        <v>1</v>
      </c>
      <c r="F29" s="7"/>
      <c r="G29" s="47">
        <f t="shared" si="0"/>
        <v>66.930000000000007</v>
      </c>
    </row>
    <row r="30" spans="1:7" s="11" customFormat="1" ht="19.5" customHeight="1" x14ac:dyDescent="0.3">
      <c r="A30" s="3">
        <v>28</v>
      </c>
      <c r="B30" s="33" t="s">
        <v>210</v>
      </c>
      <c r="C30" s="3" t="s">
        <v>133</v>
      </c>
      <c r="D30" s="125">
        <v>2.61</v>
      </c>
      <c r="E30" s="7"/>
      <c r="F30" s="46" t="s">
        <v>115</v>
      </c>
      <c r="G30" s="47">
        <f t="shared" si="0"/>
        <v>0</v>
      </c>
    </row>
    <row r="31" spans="1:7" s="11" customFormat="1" ht="19.5" customHeight="1" x14ac:dyDescent="0.3">
      <c r="A31" s="3">
        <v>29</v>
      </c>
      <c r="B31" s="51" t="s">
        <v>211</v>
      </c>
      <c r="C31" s="3" t="s">
        <v>96</v>
      </c>
      <c r="D31" s="125">
        <v>3.43</v>
      </c>
      <c r="E31" s="46">
        <v>6</v>
      </c>
      <c r="F31" s="7"/>
      <c r="G31" s="47">
        <f t="shared" si="0"/>
        <v>20.58</v>
      </c>
    </row>
    <row r="32" spans="1:7" s="11" customFormat="1" ht="19.5" customHeight="1" x14ac:dyDescent="0.3">
      <c r="A32" s="3">
        <v>30</v>
      </c>
      <c r="B32" s="33" t="s">
        <v>212</v>
      </c>
      <c r="C32" s="3" t="s">
        <v>180</v>
      </c>
      <c r="D32" s="125">
        <v>87.5</v>
      </c>
      <c r="E32" s="7"/>
      <c r="F32" s="46" t="s">
        <v>115</v>
      </c>
      <c r="G32" s="47">
        <f t="shared" si="0"/>
        <v>0</v>
      </c>
    </row>
    <row r="33" spans="1:7" s="11" customFormat="1" ht="19.5" customHeight="1" x14ac:dyDescent="0.3">
      <c r="A33" s="3">
        <v>31</v>
      </c>
      <c r="B33" s="33" t="s">
        <v>213</v>
      </c>
      <c r="C33" s="3" t="s">
        <v>93</v>
      </c>
      <c r="D33" s="125">
        <v>13.29</v>
      </c>
      <c r="E33" s="46">
        <v>6</v>
      </c>
      <c r="F33" s="7"/>
      <c r="G33" s="47">
        <f t="shared" si="0"/>
        <v>79.739999999999995</v>
      </c>
    </row>
    <row r="34" spans="1:7" s="11" customFormat="1" ht="19.5" customHeight="1" x14ac:dyDescent="0.3">
      <c r="A34" s="3">
        <v>32</v>
      </c>
      <c r="B34" s="33" t="s">
        <v>214</v>
      </c>
      <c r="C34" s="3" t="s">
        <v>96</v>
      </c>
      <c r="D34" s="125">
        <v>36.17</v>
      </c>
      <c r="E34" s="46">
        <v>1</v>
      </c>
      <c r="F34" s="7"/>
      <c r="G34" s="47">
        <f t="shared" si="0"/>
        <v>36.17</v>
      </c>
    </row>
    <row r="35" spans="1:7" s="11" customFormat="1" ht="19.5" customHeight="1" x14ac:dyDescent="0.3">
      <c r="A35" s="3">
        <v>33</v>
      </c>
      <c r="B35" s="33" t="s">
        <v>215</v>
      </c>
      <c r="C35" s="3" t="s">
        <v>93</v>
      </c>
      <c r="D35" s="125">
        <v>2.17</v>
      </c>
      <c r="E35" s="7"/>
      <c r="F35" s="46" t="s">
        <v>115</v>
      </c>
      <c r="G35" s="47">
        <f t="shared" ref="G35:G66" si="1">TRUNC((D35*E35),2)</f>
        <v>0</v>
      </c>
    </row>
    <row r="36" spans="1:7" s="11" customFormat="1" ht="19.5" customHeight="1" x14ac:dyDescent="0.3">
      <c r="A36" s="3">
        <v>34</v>
      </c>
      <c r="B36" s="33" t="s">
        <v>216</v>
      </c>
      <c r="C36" s="3" t="s">
        <v>93</v>
      </c>
      <c r="D36" s="125">
        <v>2.3199999999999998</v>
      </c>
      <c r="E36" s="46">
        <v>6</v>
      </c>
      <c r="F36" s="7"/>
      <c r="G36" s="47">
        <f t="shared" si="1"/>
        <v>13.92</v>
      </c>
    </row>
    <row r="37" spans="1:7" s="11" customFormat="1" ht="19.5" customHeight="1" x14ac:dyDescent="0.3">
      <c r="A37" s="3">
        <v>35</v>
      </c>
      <c r="B37" s="33" t="s">
        <v>217</v>
      </c>
      <c r="C37" s="3" t="s">
        <v>180</v>
      </c>
      <c r="D37" s="125">
        <v>66.540000000000006</v>
      </c>
      <c r="E37" s="7"/>
      <c r="F37" s="46" t="s">
        <v>115</v>
      </c>
      <c r="G37" s="47">
        <f t="shared" si="1"/>
        <v>0</v>
      </c>
    </row>
    <row r="38" spans="1:7" s="11" customFormat="1" ht="19.5" customHeight="1" x14ac:dyDescent="0.3">
      <c r="A38" s="3">
        <v>36</v>
      </c>
      <c r="B38" s="33" t="s">
        <v>218</v>
      </c>
      <c r="C38" s="3" t="s">
        <v>93</v>
      </c>
      <c r="D38" s="125">
        <v>7.83</v>
      </c>
      <c r="E38" s="7"/>
      <c r="F38" s="46" t="s">
        <v>115</v>
      </c>
      <c r="G38" s="47">
        <f t="shared" si="1"/>
        <v>0</v>
      </c>
    </row>
    <row r="39" spans="1:7" s="11" customFormat="1" ht="19.5" customHeight="1" x14ac:dyDescent="0.3">
      <c r="A39" s="3">
        <v>37</v>
      </c>
      <c r="B39" s="33" t="s">
        <v>219</v>
      </c>
      <c r="C39" s="3" t="s">
        <v>93</v>
      </c>
      <c r="D39" s="125">
        <v>2.2000000000000002</v>
      </c>
      <c r="E39" s="46">
        <v>6</v>
      </c>
      <c r="F39" s="7"/>
      <c r="G39" s="47">
        <f t="shared" si="1"/>
        <v>13.2</v>
      </c>
    </row>
    <row r="40" spans="1:7" s="11" customFormat="1" ht="19.5" customHeight="1" x14ac:dyDescent="0.3">
      <c r="A40" s="3">
        <v>38</v>
      </c>
      <c r="B40" s="33" t="s">
        <v>220</v>
      </c>
      <c r="C40" s="3" t="s">
        <v>93</v>
      </c>
      <c r="D40" s="125">
        <v>4.13</v>
      </c>
      <c r="E40" s="46">
        <v>6</v>
      </c>
      <c r="F40" s="7"/>
      <c r="G40" s="47">
        <f t="shared" si="1"/>
        <v>24.78</v>
      </c>
    </row>
    <row r="41" spans="1:7" s="11" customFormat="1" ht="19.5" customHeight="1" x14ac:dyDescent="0.3">
      <c r="A41" s="3">
        <v>39</v>
      </c>
      <c r="B41" s="33" t="s">
        <v>221</v>
      </c>
      <c r="C41" s="3" t="s">
        <v>96</v>
      </c>
      <c r="D41" s="125">
        <v>56.13</v>
      </c>
      <c r="E41" s="7"/>
      <c r="F41" s="46" t="s">
        <v>115</v>
      </c>
      <c r="G41" s="47">
        <f t="shared" si="1"/>
        <v>0</v>
      </c>
    </row>
    <row r="42" spans="1:7" s="11" customFormat="1" ht="19.5" customHeight="1" x14ac:dyDescent="0.3">
      <c r="A42" s="3">
        <v>40</v>
      </c>
      <c r="B42" s="33" t="s">
        <v>222</v>
      </c>
      <c r="C42" s="3" t="s">
        <v>96</v>
      </c>
      <c r="D42" s="125">
        <v>22.81</v>
      </c>
      <c r="E42" s="46">
        <v>3</v>
      </c>
      <c r="F42" s="7"/>
      <c r="G42" s="47">
        <f t="shared" si="1"/>
        <v>68.430000000000007</v>
      </c>
    </row>
    <row r="43" spans="1:7" s="11" customFormat="1" ht="19.5" customHeight="1" x14ac:dyDescent="0.3">
      <c r="A43" s="3">
        <v>41</v>
      </c>
      <c r="B43" s="33" t="s">
        <v>223</v>
      </c>
      <c r="C43" s="3" t="s">
        <v>96</v>
      </c>
      <c r="D43" s="125">
        <v>26.86</v>
      </c>
      <c r="E43" s="46">
        <v>1</v>
      </c>
      <c r="F43" s="7"/>
      <c r="G43" s="47">
        <f t="shared" si="1"/>
        <v>26.86</v>
      </c>
    </row>
    <row r="44" spans="1:7" s="11" customFormat="1" ht="19.5" customHeight="1" x14ac:dyDescent="0.3">
      <c r="A44" s="3">
        <v>42</v>
      </c>
      <c r="B44" s="33" t="s">
        <v>224</v>
      </c>
      <c r="C44" s="3" t="s">
        <v>96</v>
      </c>
      <c r="D44" s="125">
        <v>47.27</v>
      </c>
      <c r="E44" s="46">
        <v>1</v>
      </c>
      <c r="F44" s="7"/>
      <c r="G44" s="47">
        <f t="shared" si="1"/>
        <v>47.27</v>
      </c>
    </row>
    <row r="45" spans="1:7" s="11" customFormat="1" ht="19.5" customHeight="1" x14ac:dyDescent="0.3">
      <c r="A45" s="3">
        <v>43</v>
      </c>
      <c r="B45" s="33" t="s">
        <v>225</v>
      </c>
      <c r="C45" s="3" t="s">
        <v>93</v>
      </c>
      <c r="D45" s="125">
        <v>3.38</v>
      </c>
      <c r="E45" s="46">
        <v>3</v>
      </c>
      <c r="F45" s="7"/>
      <c r="G45" s="47">
        <f t="shared" si="1"/>
        <v>10.14</v>
      </c>
    </row>
    <row r="46" spans="1:7" s="11" customFormat="1" ht="19.5" customHeight="1" x14ac:dyDescent="0.3">
      <c r="A46" s="3">
        <v>44</v>
      </c>
      <c r="B46" s="33" t="s">
        <v>226</v>
      </c>
      <c r="C46" s="3" t="s">
        <v>227</v>
      </c>
      <c r="D46" s="125">
        <v>7.16</v>
      </c>
      <c r="E46" s="46">
        <v>2</v>
      </c>
      <c r="F46" s="7"/>
      <c r="G46" s="47">
        <f t="shared" si="1"/>
        <v>14.32</v>
      </c>
    </row>
    <row r="47" spans="1:7" s="11" customFormat="1" ht="19.5" customHeight="1" x14ac:dyDescent="0.3">
      <c r="A47" s="3">
        <v>45</v>
      </c>
      <c r="B47" s="33" t="s">
        <v>228</v>
      </c>
      <c r="C47" s="3" t="s">
        <v>227</v>
      </c>
      <c r="D47" s="125">
        <v>8.0500000000000007</v>
      </c>
      <c r="E47" s="46">
        <v>2</v>
      </c>
      <c r="F47" s="7"/>
      <c r="G47" s="47">
        <f t="shared" si="1"/>
        <v>16.100000000000001</v>
      </c>
    </row>
    <row r="48" spans="1:7" s="11" customFormat="1" ht="19.5" customHeight="1" x14ac:dyDescent="0.3">
      <c r="A48" s="3">
        <v>46</v>
      </c>
      <c r="B48" s="33" t="s">
        <v>229</v>
      </c>
      <c r="C48" s="3" t="s">
        <v>96</v>
      </c>
      <c r="D48" s="125">
        <v>174.03</v>
      </c>
      <c r="E48" s="46"/>
      <c r="F48" s="7"/>
      <c r="G48" s="47">
        <f t="shared" si="1"/>
        <v>0</v>
      </c>
    </row>
    <row r="49" spans="1:7" s="11" customFormat="1" ht="19.5" customHeight="1" x14ac:dyDescent="0.3">
      <c r="A49" s="3">
        <v>47</v>
      </c>
      <c r="B49" s="52" t="s">
        <v>230</v>
      </c>
      <c r="C49" s="3" t="s">
        <v>96</v>
      </c>
      <c r="D49" s="125">
        <v>107.75</v>
      </c>
      <c r="E49" s="46">
        <v>1</v>
      </c>
      <c r="F49" s="7"/>
      <c r="G49" s="47">
        <f t="shared" si="1"/>
        <v>107.75</v>
      </c>
    </row>
    <row r="50" spans="1:7" s="11" customFormat="1" ht="19.5" customHeight="1" x14ac:dyDescent="0.3">
      <c r="A50" s="3">
        <v>48</v>
      </c>
      <c r="B50" s="53" t="s">
        <v>231</v>
      </c>
      <c r="C50" s="3" t="s">
        <v>96</v>
      </c>
      <c r="D50" s="125">
        <v>54.24</v>
      </c>
      <c r="E50" s="46">
        <v>1</v>
      </c>
      <c r="F50" s="7"/>
      <c r="G50" s="47">
        <f t="shared" si="1"/>
        <v>54.24</v>
      </c>
    </row>
    <row r="51" spans="1:7" s="11" customFormat="1" ht="19.5" customHeight="1" x14ac:dyDescent="0.3">
      <c r="A51" s="3">
        <v>49</v>
      </c>
      <c r="B51" s="53" t="s">
        <v>232</v>
      </c>
      <c r="C51" s="3" t="s">
        <v>96</v>
      </c>
      <c r="D51" s="125">
        <v>51.28</v>
      </c>
      <c r="E51" s="46">
        <v>1</v>
      </c>
      <c r="F51" s="7"/>
      <c r="G51" s="47">
        <f t="shared" si="1"/>
        <v>51.28</v>
      </c>
    </row>
    <row r="52" spans="1:7" s="11" customFormat="1" ht="19.5" customHeight="1" x14ac:dyDescent="0.3">
      <c r="A52" s="3">
        <v>50</v>
      </c>
      <c r="B52" s="53" t="s">
        <v>233</v>
      </c>
      <c r="C52" s="3" t="s">
        <v>234</v>
      </c>
      <c r="D52" s="125">
        <v>31.63</v>
      </c>
      <c r="E52" s="7"/>
      <c r="F52" s="46" t="s">
        <v>115</v>
      </c>
      <c r="G52" s="47">
        <f t="shared" si="1"/>
        <v>0</v>
      </c>
    </row>
    <row r="53" spans="1:7" s="11" customFormat="1" ht="19.5" customHeight="1" x14ac:dyDescent="0.3">
      <c r="A53" s="3">
        <v>51</v>
      </c>
      <c r="B53" s="53" t="s">
        <v>235</v>
      </c>
      <c r="C53" s="3" t="s">
        <v>236</v>
      </c>
      <c r="D53" s="125">
        <v>36.42</v>
      </c>
      <c r="E53" s="7"/>
      <c r="F53" s="46" t="s">
        <v>115</v>
      </c>
      <c r="G53" s="47">
        <f t="shared" si="1"/>
        <v>0</v>
      </c>
    </row>
    <row r="54" spans="1:7" s="11" customFormat="1" ht="19.5" customHeight="1" x14ac:dyDescent="0.3">
      <c r="A54" s="3">
        <v>52</v>
      </c>
      <c r="B54" s="53" t="s">
        <v>237</v>
      </c>
      <c r="C54" s="3" t="s">
        <v>96</v>
      </c>
      <c r="D54" s="125">
        <v>10.73</v>
      </c>
      <c r="E54" s="46">
        <v>2</v>
      </c>
      <c r="F54" s="7"/>
      <c r="G54" s="47">
        <f t="shared" si="1"/>
        <v>21.46</v>
      </c>
    </row>
    <row r="55" spans="1:7" s="11" customFormat="1" ht="19.5" customHeight="1" x14ac:dyDescent="0.3">
      <c r="A55" s="3">
        <v>53</v>
      </c>
      <c r="B55" s="53" t="s">
        <v>238</v>
      </c>
      <c r="C55" s="3" t="s">
        <v>96</v>
      </c>
      <c r="D55" s="125">
        <v>8.2100000000000009</v>
      </c>
      <c r="E55" s="46">
        <v>6</v>
      </c>
      <c r="F55" s="7"/>
      <c r="G55" s="47">
        <f t="shared" si="1"/>
        <v>49.26</v>
      </c>
    </row>
    <row r="56" spans="1:7" s="11" customFormat="1" ht="19.5" customHeight="1" x14ac:dyDescent="0.3">
      <c r="A56" s="3">
        <v>54</v>
      </c>
      <c r="B56" s="53" t="s">
        <v>239</v>
      </c>
      <c r="C56" s="3" t="s">
        <v>96</v>
      </c>
      <c r="D56" s="125">
        <v>4.83</v>
      </c>
      <c r="E56" s="46">
        <v>6</v>
      </c>
      <c r="F56" s="7"/>
      <c r="G56" s="47">
        <f t="shared" si="1"/>
        <v>28.98</v>
      </c>
    </row>
    <row r="57" spans="1:7" s="11" customFormat="1" ht="19.5" customHeight="1" x14ac:dyDescent="0.3">
      <c r="A57" s="3">
        <v>55</v>
      </c>
      <c r="B57" s="53" t="s">
        <v>240</v>
      </c>
      <c r="C57" s="3" t="s">
        <v>241</v>
      </c>
      <c r="D57" s="125">
        <v>40.5</v>
      </c>
      <c r="E57" s="46"/>
      <c r="F57" s="7" t="s">
        <v>115</v>
      </c>
      <c r="G57" s="47">
        <f t="shared" si="1"/>
        <v>0</v>
      </c>
    </row>
    <row r="58" spans="1:7" s="11" customFormat="1" ht="19.5" customHeight="1" x14ac:dyDescent="0.3">
      <c r="A58" s="3">
        <v>56</v>
      </c>
      <c r="B58" s="53" t="s">
        <v>242</v>
      </c>
      <c r="C58" s="3" t="s">
        <v>133</v>
      </c>
      <c r="D58" s="125">
        <v>21.12</v>
      </c>
      <c r="E58" s="50">
        <v>2</v>
      </c>
      <c r="F58" s="7"/>
      <c r="G58" s="47">
        <f t="shared" si="1"/>
        <v>42.24</v>
      </c>
    </row>
    <row r="59" spans="1:7" s="11" customFormat="1" ht="19.5" customHeight="1" x14ac:dyDescent="0.3">
      <c r="A59" s="3">
        <v>57</v>
      </c>
      <c r="B59" s="53" t="s">
        <v>243</v>
      </c>
      <c r="C59" s="3" t="s">
        <v>244</v>
      </c>
      <c r="D59" s="125">
        <v>12.78</v>
      </c>
      <c r="E59" s="50">
        <v>2</v>
      </c>
      <c r="F59" s="7"/>
      <c r="G59" s="47">
        <f t="shared" si="1"/>
        <v>25.56</v>
      </c>
    </row>
    <row r="60" spans="1:7" s="11" customFormat="1" ht="19.5" customHeight="1" x14ac:dyDescent="0.3">
      <c r="A60" s="3">
        <v>58</v>
      </c>
      <c r="B60" s="53" t="s">
        <v>245</v>
      </c>
      <c r="C60" s="3" t="s">
        <v>246</v>
      </c>
      <c r="D60" s="125">
        <v>8.83</v>
      </c>
      <c r="E60" s="46">
        <v>6</v>
      </c>
      <c r="F60" s="7"/>
      <c r="G60" s="47">
        <f t="shared" si="1"/>
        <v>52.98</v>
      </c>
    </row>
    <row r="61" spans="1:7" s="11" customFormat="1" ht="19.5" customHeight="1" x14ac:dyDescent="0.3">
      <c r="A61" s="3">
        <v>59</v>
      </c>
      <c r="B61" s="53" t="s">
        <v>247</v>
      </c>
      <c r="C61" s="3" t="s">
        <v>248</v>
      </c>
      <c r="D61" s="125">
        <v>2.5099999999999998</v>
      </c>
      <c r="E61" s="46">
        <v>12</v>
      </c>
      <c r="F61" s="7"/>
      <c r="G61" s="47">
        <f t="shared" si="1"/>
        <v>30.12</v>
      </c>
    </row>
    <row r="62" spans="1:7" s="11" customFormat="1" ht="19.5" customHeight="1" x14ac:dyDescent="0.3">
      <c r="A62" s="3">
        <v>60</v>
      </c>
      <c r="B62" s="53" t="s">
        <v>249</v>
      </c>
      <c r="C62" s="3" t="s">
        <v>96</v>
      </c>
      <c r="D62" s="125">
        <v>30.6</v>
      </c>
      <c r="E62" s="7"/>
      <c r="F62" s="46" t="s">
        <v>115</v>
      </c>
      <c r="G62" s="47">
        <f t="shared" si="1"/>
        <v>0</v>
      </c>
    </row>
    <row r="63" spans="1:7" s="11" customFormat="1" ht="19.5" customHeight="1" x14ac:dyDescent="0.3">
      <c r="A63" s="3">
        <v>61</v>
      </c>
      <c r="B63" s="53" t="s">
        <v>250</v>
      </c>
      <c r="C63" s="3" t="s">
        <v>96</v>
      </c>
      <c r="D63" s="125">
        <v>36.11</v>
      </c>
      <c r="E63" s="7"/>
      <c r="F63" s="46" t="s">
        <v>115</v>
      </c>
      <c r="G63" s="47">
        <f t="shared" si="1"/>
        <v>0</v>
      </c>
    </row>
    <row r="64" spans="1:7" s="11" customFormat="1" ht="19.5" customHeight="1" x14ac:dyDescent="0.3">
      <c r="A64" s="3">
        <v>62</v>
      </c>
      <c r="B64" s="53" t="s">
        <v>251</v>
      </c>
      <c r="C64" s="3" t="s">
        <v>252</v>
      </c>
      <c r="D64" s="125">
        <v>50.15</v>
      </c>
      <c r="E64" s="7"/>
      <c r="F64" s="46" t="s">
        <v>115</v>
      </c>
      <c r="G64" s="47">
        <f t="shared" si="1"/>
        <v>0</v>
      </c>
    </row>
    <row r="65" spans="1:7" s="11" customFormat="1" ht="19.5" customHeight="1" x14ac:dyDescent="0.3">
      <c r="A65" s="3">
        <v>63</v>
      </c>
      <c r="B65" s="53" t="s">
        <v>253</v>
      </c>
      <c r="C65" s="3" t="s">
        <v>96</v>
      </c>
      <c r="D65" s="125">
        <v>12.98</v>
      </c>
      <c r="E65" s="7"/>
      <c r="F65" s="46" t="s">
        <v>115</v>
      </c>
      <c r="G65" s="47">
        <f t="shared" si="1"/>
        <v>0</v>
      </c>
    </row>
    <row r="66" spans="1:7" s="11" customFormat="1" ht="19.5" customHeight="1" x14ac:dyDescent="0.3">
      <c r="A66" s="3">
        <v>64</v>
      </c>
      <c r="B66" s="53" t="s">
        <v>254</v>
      </c>
      <c r="C66" s="3" t="s">
        <v>96</v>
      </c>
      <c r="D66" s="125">
        <v>16.07</v>
      </c>
      <c r="E66" s="46">
        <v>2</v>
      </c>
      <c r="F66" s="7"/>
      <c r="G66" s="47">
        <f t="shared" si="1"/>
        <v>32.14</v>
      </c>
    </row>
    <row r="67" spans="1:7" s="11" customFormat="1" ht="19.5" customHeight="1" x14ac:dyDescent="0.3">
      <c r="A67" s="3">
        <v>65</v>
      </c>
      <c r="B67" s="53" t="s">
        <v>255</v>
      </c>
      <c r="C67" s="3" t="s">
        <v>96</v>
      </c>
      <c r="D67" s="125">
        <v>21.05</v>
      </c>
      <c r="E67" s="46">
        <v>2</v>
      </c>
      <c r="F67" s="7"/>
      <c r="G67" s="47">
        <f t="shared" ref="G67:G86" si="2">TRUNC((D67*E67),2)</f>
        <v>42.1</v>
      </c>
    </row>
    <row r="68" spans="1:7" s="11" customFormat="1" ht="19.5" customHeight="1" x14ac:dyDescent="0.3">
      <c r="A68" s="3">
        <v>66</v>
      </c>
      <c r="B68" s="53" t="s">
        <v>256</v>
      </c>
      <c r="C68" s="3" t="s">
        <v>96</v>
      </c>
      <c r="D68" s="125">
        <v>29</v>
      </c>
      <c r="E68" s="46">
        <v>2</v>
      </c>
      <c r="F68" s="7"/>
      <c r="G68" s="47">
        <f t="shared" si="2"/>
        <v>58</v>
      </c>
    </row>
    <row r="69" spans="1:7" s="11" customFormat="1" ht="19.5" customHeight="1" x14ac:dyDescent="0.3">
      <c r="A69" s="3">
        <v>67</v>
      </c>
      <c r="B69" s="53" t="s">
        <v>257</v>
      </c>
      <c r="C69" s="3" t="s">
        <v>96</v>
      </c>
      <c r="D69" s="125">
        <v>14.6</v>
      </c>
      <c r="E69" s="46">
        <v>1</v>
      </c>
      <c r="F69" s="7"/>
      <c r="G69" s="47">
        <f t="shared" si="2"/>
        <v>14.6</v>
      </c>
    </row>
    <row r="70" spans="1:7" s="11" customFormat="1" ht="19.5" customHeight="1" x14ac:dyDescent="0.3">
      <c r="A70" s="3">
        <v>68</v>
      </c>
      <c r="B70" s="53" t="s">
        <v>258</v>
      </c>
      <c r="C70" s="3" t="s">
        <v>96</v>
      </c>
      <c r="D70" s="125">
        <v>15.13</v>
      </c>
      <c r="E70" s="46"/>
      <c r="F70" s="7" t="s">
        <v>115</v>
      </c>
      <c r="G70" s="47">
        <f t="shared" si="2"/>
        <v>0</v>
      </c>
    </row>
    <row r="71" spans="1:7" s="11" customFormat="1" ht="19.5" customHeight="1" x14ac:dyDescent="0.3">
      <c r="A71" s="3">
        <v>69</v>
      </c>
      <c r="B71" s="53" t="s">
        <v>109</v>
      </c>
      <c r="C71" s="3" t="s">
        <v>259</v>
      </c>
      <c r="D71" s="125">
        <v>10.119999999999999</v>
      </c>
      <c r="E71" s="50">
        <v>3</v>
      </c>
      <c r="F71" s="7"/>
      <c r="G71" s="47">
        <f t="shared" si="2"/>
        <v>30.36</v>
      </c>
    </row>
    <row r="72" spans="1:7" s="11" customFormat="1" ht="19.5" customHeight="1" x14ac:dyDescent="0.3">
      <c r="A72" s="3">
        <v>70</v>
      </c>
      <c r="B72" s="53" t="s">
        <v>260</v>
      </c>
      <c r="C72" s="3" t="s">
        <v>180</v>
      </c>
      <c r="D72" s="125">
        <v>16.329999999999998</v>
      </c>
      <c r="E72" s="46">
        <v>1</v>
      </c>
      <c r="F72" s="7"/>
      <c r="G72" s="47">
        <f t="shared" si="2"/>
        <v>16.329999999999998</v>
      </c>
    </row>
    <row r="73" spans="1:7" s="11" customFormat="1" ht="19.5" customHeight="1" x14ac:dyDescent="0.3">
      <c r="A73" s="3">
        <v>71</v>
      </c>
      <c r="B73" s="53" t="s">
        <v>261</v>
      </c>
      <c r="C73" s="3" t="s">
        <v>262</v>
      </c>
      <c r="D73" s="125">
        <v>12.25</v>
      </c>
      <c r="E73" s="50">
        <v>2</v>
      </c>
      <c r="F73" s="7"/>
      <c r="G73" s="47">
        <f t="shared" si="2"/>
        <v>24.5</v>
      </c>
    </row>
    <row r="74" spans="1:7" s="11" customFormat="1" ht="19.5" customHeight="1" x14ac:dyDescent="0.3">
      <c r="A74" s="3">
        <v>72</v>
      </c>
      <c r="B74" s="53" t="s">
        <v>263</v>
      </c>
      <c r="C74" s="3" t="s">
        <v>180</v>
      </c>
      <c r="D74" s="125">
        <v>15.66</v>
      </c>
      <c r="E74" s="46">
        <v>2</v>
      </c>
      <c r="F74" s="7"/>
      <c r="G74" s="47">
        <f t="shared" si="2"/>
        <v>31.32</v>
      </c>
    </row>
    <row r="75" spans="1:7" s="11" customFormat="1" ht="19.5" customHeight="1" x14ac:dyDescent="0.3">
      <c r="A75" s="3">
        <v>73</v>
      </c>
      <c r="B75" s="53" t="s">
        <v>264</v>
      </c>
      <c r="C75" s="3" t="s">
        <v>265</v>
      </c>
      <c r="D75" s="125">
        <v>11.75</v>
      </c>
      <c r="E75" s="50">
        <v>6</v>
      </c>
      <c r="F75" s="7"/>
      <c r="G75" s="47">
        <f t="shared" si="2"/>
        <v>70.5</v>
      </c>
    </row>
    <row r="76" spans="1:7" s="11" customFormat="1" ht="19.5" customHeight="1" x14ac:dyDescent="0.3">
      <c r="A76" s="3">
        <v>74</v>
      </c>
      <c r="B76" s="53" t="s">
        <v>266</v>
      </c>
      <c r="C76" s="3" t="s">
        <v>265</v>
      </c>
      <c r="D76" s="125">
        <v>13.13</v>
      </c>
      <c r="E76" s="7"/>
      <c r="F76" s="46" t="s">
        <v>115</v>
      </c>
      <c r="G76" s="47">
        <f t="shared" si="2"/>
        <v>0</v>
      </c>
    </row>
    <row r="77" spans="1:7" s="11" customFormat="1" ht="19.5" customHeight="1" x14ac:dyDescent="0.3">
      <c r="A77" s="3">
        <v>75</v>
      </c>
      <c r="B77" s="53" t="s">
        <v>267</v>
      </c>
      <c r="C77" s="3" t="s">
        <v>265</v>
      </c>
      <c r="D77" s="125">
        <v>16.66</v>
      </c>
      <c r="E77" s="50">
        <v>6</v>
      </c>
      <c r="F77" s="7"/>
      <c r="G77" s="47">
        <f t="shared" si="2"/>
        <v>99.96</v>
      </c>
    </row>
    <row r="78" spans="1:7" s="11" customFormat="1" ht="19.5" customHeight="1" x14ac:dyDescent="0.3">
      <c r="A78" s="3">
        <v>76</v>
      </c>
      <c r="B78" s="53" t="s">
        <v>268</v>
      </c>
      <c r="C78" s="3" t="s">
        <v>96</v>
      </c>
      <c r="D78" s="125">
        <v>38.83</v>
      </c>
      <c r="E78" s="7"/>
      <c r="F78" s="46" t="s">
        <v>115</v>
      </c>
      <c r="G78" s="47">
        <f t="shared" si="2"/>
        <v>0</v>
      </c>
    </row>
    <row r="79" spans="1:7" s="11" customFormat="1" ht="19.5" customHeight="1" x14ac:dyDescent="0.3">
      <c r="A79" s="3">
        <v>77</v>
      </c>
      <c r="B79" s="53" t="s">
        <v>269</v>
      </c>
      <c r="C79" s="3" t="s">
        <v>270</v>
      </c>
      <c r="D79" s="125">
        <v>5.95</v>
      </c>
      <c r="E79" s="7"/>
      <c r="F79" s="46" t="s">
        <v>115</v>
      </c>
      <c r="G79" s="47">
        <f t="shared" si="2"/>
        <v>0</v>
      </c>
    </row>
    <row r="80" spans="1:7" s="11" customFormat="1" ht="19.5" customHeight="1" x14ac:dyDescent="0.3">
      <c r="A80" s="3">
        <v>78</v>
      </c>
      <c r="B80" s="53" t="s">
        <v>271</v>
      </c>
      <c r="C80" s="3" t="s">
        <v>272</v>
      </c>
      <c r="D80" s="125">
        <v>17.010000000000002</v>
      </c>
      <c r="E80" s="7"/>
      <c r="F80" s="46" t="s">
        <v>115</v>
      </c>
      <c r="G80" s="47">
        <f t="shared" si="2"/>
        <v>0</v>
      </c>
    </row>
    <row r="81" spans="1:7" s="11" customFormat="1" ht="19.5" customHeight="1" x14ac:dyDescent="0.3">
      <c r="A81" s="3">
        <v>79</v>
      </c>
      <c r="B81" s="54" t="s">
        <v>273</v>
      </c>
      <c r="C81" s="3" t="s">
        <v>96</v>
      </c>
      <c r="D81" s="125">
        <v>19.37</v>
      </c>
      <c r="E81" s="46">
        <v>2</v>
      </c>
      <c r="F81" s="7"/>
      <c r="G81" s="47">
        <f t="shared" si="2"/>
        <v>38.74</v>
      </c>
    </row>
    <row r="82" spans="1:7" s="11" customFormat="1" ht="19.5" customHeight="1" x14ac:dyDescent="0.3">
      <c r="A82" s="3">
        <v>80</v>
      </c>
      <c r="B82" s="53" t="s">
        <v>274</v>
      </c>
      <c r="C82" s="3" t="s">
        <v>96</v>
      </c>
      <c r="D82" s="125">
        <v>21.16</v>
      </c>
      <c r="E82" s="46">
        <v>2</v>
      </c>
      <c r="F82" s="7"/>
      <c r="G82" s="47">
        <f t="shared" si="2"/>
        <v>42.32</v>
      </c>
    </row>
    <row r="83" spans="1:7" s="11" customFormat="1" ht="19.5" customHeight="1" x14ac:dyDescent="0.3">
      <c r="A83" s="3">
        <v>81</v>
      </c>
      <c r="B83" s="53" t="s">
        <v>275</v>
      </c>
      <c r="C83" s="3" t="s">
        <v>96</v>
      </c>
      <c r="D83" s="125">
        <v>30.73</v>
      </c>
      <c r="E83" s="46"/>
      <c r="F83" s="7" t="s">
        <v>115</v>
      </c>
      <c r="G83" s="47">
        <f t="shared" si="2"/>
        <v>0</v>
      </c>
    </row>
    <row r="84" spans="1:7" s="11" customFormat="1" ht="19.5" customHeight="1" x14ac:dyDescent="0.3">
      <c r="A84" s="3">
        <v>82</v>
      </c>
      <c r="B84" s="53" t="s">
        <v>276</v>
      </c>
      <c r="C84" s="3" t="s">
        <v>96</v>
      </c>
      <c r="D84" s="125">
        <v>16.57</v>
      </c>
      <c r="E84" s="46">
        <v>1</v>
      </c>
      <c r="F84" s="7"/>
      <c r="G84" s="47">
        <f t="shared" si="2"/>
        <v>16.57</v>
      </c>
    </row>
    <row r="85" spans="1:7" s="11" customFormat="1" ht="19.5" customHeight="1" x14ac:dyDescent="0.3">
      <c r="A85" s="3">
        <v>83</v>
      </c>
      <c r="B85" s="53" t="s">
        <v>277</v>
      </c>
      <c r="C85" s="3" t="s">
        <v>96</v>
      </c>
      <c r="D85" s="125">
        <v>18.7</v>
      </c>
      <c r="E85" s="46"/>
      <c r="F85" s="7" t="s">
        <v>115</v>
      </c>
      <c r="G85" s="47">
        <f t="shared" si="2"/>
        <v>0</v>
      </c>
    </row>
    <row r="86" spans="1:7" s="11" customFormat="1" ht="19.5" customHeight="1" x14ac:dyDescent="0.3">
      <c r="A86" s="3">
        <v>84</v>
      </c>
      <c r="B86" s="53" t="s">
        <v>278</v>
      </c>
      <c r="C86" s="3" t="s">
        <v>96</v>
      </c>
      <c r="D86" s="125">
        <v>8.32</v>
      </c>
      <c r="E86" s="46">
        <v>2</v>
      </c>
      <c r="F86" s="7"/>
      <c r="G86" s="47">
        <f t="shared" si="2"/>
        <v>16.64</v>
      </c>
    </row>
    <row r="87" spans="1:7" s="11" customFormat="1" ht="19.5" customHeight="1" x14ac:dyDescent="0.3">
      <c r="A87" s="3"/>
      <c r="B87" s="53"/>
      <c r="C87" s="3"/>
      <c r="D87" s="55"/>
      <c r="E87" s="46"/>
      <c r="F87" s="7"/>
      <c r="G87" s="47"/>
    </row>
    <row r="88" spans="1:7" s="11" customFormat="1" ht="19.5" customHeight="1" x14ac:dyDescent="0.3">
      <c r="A88" s="3"/>
      <c r="B88" s="3"/>
      <c r="C88" s="3"/>
      <c r="D88" s="47"/>
      <c r="E88" s="3"/>
      <c r="F88" s="47"/>
      <c r="G88" s="47"/>
    </row>
    <row r="89" spans="1:7" s="11" customFormat="1" ht="19.5" customHeight="1" x14ac:dyDescent="0.3">
      <c r="A89" s="56"/>
      <c r="B89" s="53"/>
      <c r="C89" s="3"/>
      <c r="D89" s="47">
        <f>TRUNC(SUM(D3:D86),2)</f>
        <v>2064.12</v>
      </c>
      <c r="E89" s="3"/>
      <c r="F89" s="47"/>
      <c r="G89" s="23">
        <f>TRUNC(SUM(G3:G86),2)</f>
        <v>2005.88</v>
      </c>
    </row>
    <row r="90" spans="1:7" s="11" customFormat="1" ht="19.5" customHeight="1" x14ac:dyDescent="0.3">
      <c r="A90" s="24"/>
      <c r="B90" s="24"/>
      <c r="C90" s="24"/>
      <c r="D90" s="24"/>
      <c r="E90" s="24"/>
      <c r="F90" s="24"/>
      <c r="G90" s="24"/>
    </row>
    <row r="91" spans="1:7" s="11" customFormat="1" ht="19.5" customHeight="1" x14ac:dyDescent="0.3">
      <c r="A91" s="24"/>
      <c r="B91" s="24"/>
      <c r="C91" s="24"/>
      <c r="D91" s="156" t="s">
        <v>111</v>
      </c>
      <c r="E91" s="156"/>
      <c r="F91" s="157">
        <f>TRUNC((G89/12),2)</f>
        <v>167.15</v>
      </c>
      <c r="G91" s="157"/>
    </row>
    <row r="92" spans="1:7" x14ac:dyDescent="0.3">
      <c r="A92" s="57"/>
      <c r="B92" s="57"/>
      <c r="C92" s="57"/>
      <c r="D92" s="57"/>
      <c r="E92" s="57"/>
      <c r="F92" s="57"/>
      <c r="G92" s="57"/>
    </row>
    <row r="93" spans="1:7" x14ac:dyDescent="0.3">
      <c r="A93" s="38"/>
      <c r="B93" s="38"/>
      <c r="C93" s="38"/>
      <c r="D93" s="38"/>
      <c r="E93" s="38"/>
      <c r="F93" s="38"/>
      <c r="G93" s="38"/>
    </row>
    <row r="94" spans="1:7" x14ac:dyDescent="0.3">
      <c r="A94" s="38"/>
      <c r="B94" s="38"/>
      <c r="C94" s="38"/>
      <c r="D94" s="38"/>
      <c r="E94" s="38"/>
      <c r="F94" s="38"/>
      <c r="G94" s="38"/>
    </row>
    <row r="95" spans="1:7" x14ac:dyDescent="0.3">
      <c r="A95" s="38"/>
      <c r="B95" s="38"/>
      <c r="C95" s="38"/>
      <c r="D95" s="38"/>
      <c r="E95" s="38"/>
      <c r="F95" s="38"/>
      <c r="G95" s="38"/>
    </row>
    <row r="96" spans="1:7" x14ac:dyDescent="0.3">
      <c r="A96" s="38"/>
      <c r="B96" s="38"/>
      <c r="C96" s="38"/>
      <c r="D96" s="38"/>
      <c r="E96" s="38"/>
      <c r="F96" s="38"/>
      <c r="G96" s="38"/>
    </row>
    <row r="97" spans="1:7" x14ac:dyDescent="0.3">
      <c r="A97" s="38"/>
      <c r="B97" s="38"/>
      <c r="C97" s="38"/>
      <c r="D97" s="38"/>
      <c r="E97" s="38"/>
      <c r="F97" s="38"/>
      <c r="G97" s="38"/>
    </row>
    <row r="98" spans="1:7" x14ac:dyDescent="0.3">
      <c r="A98" s="38"/>
      <c r="B98" s="38"/>
      <c r="C98" s="38"/>
      <c r="D98" s="38"/>
      <c r="E98" s="38"/>
      <c r="F98" s="38"/>
      <c r="G98" s="38"/>
    </row>
    <row r="99" spans="1:7" x14ac:dyDescent="0.3">
      <c r="A99" s="38"/>
      <c r="B99" s="38"/>
      <c r="C99" s="38"/>
      <c r="D99" s="38"/>
      <c r="E99" s="38"/>
      <c r="F99" s="38"/>
      <c r="G99" s="38"/>
    </row>
  </sheetData>
  <sheetProtection sheet="1" objects="1" scenarios="1"/>
  <protectedRanges>
    <protectedRange sqref="D3:D86" name="Intervalo1"/>
  </protectedRanges>
  <mergeCells count="3">
    <mergeCell ref="A1:G1"/>
    <mergeCell ref="D91:E91"/>
    <mergeCell ref="F91:G91"/>
  </mergeCells>
  <pageMargins left="0.7" right="0.7" top="0.75" bottom="0.75" header="0.511811023622047" footer="0.511811023622047"/>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0"/>
  <sheetViews>
    <sheetView zoomScaleNormal="100" workbookViewId="0">
      <selection activeCell="F31" sqref="F31"/>
    </sheetView>
  </sheetViews>
  <sheetFormatPr defaultColWidth="8.6640625" defaultRowHeight="14.4" x14ac:dyDescent="0.3"/>
  <cols>
    <col min="2" max="2" width="69.33203125" customWidth="1"/>
    <col min="3" max="3" width="15.44140625" customWidth="1"/>
    <col min="4" max="4" width="18.33203125" customWidth="1"/>
    <col min="5" max="5" width="16.33203125" customWidth="1"/>
    <col min="6" max="6" width="15.33203125" customWidth="1"/>
    <col min="7" max="7" width="20.109375" customWidth="1"/>
    <col min="8" max="8" width="14" customWidth="1"/>
    <col min="9" max="9" width="24.109375" customWidth="1"/>
  </cols>
  <sheetData>
    <row r="1" spans="1:9" x14ac:dyDescent="0.3">
      <c r="A1" s="152" t="s">
        <v>279</v>
      </c>
      <c r="B1" s="152"/>
      <c r="C1" s="152"/>
      <c r="D1" s="152"/>
      <c r="E1" s="152"/>
      <c r="F1" s="152"/>
      <c r="G1" s="152"/>
      <c r="H1" s="152"/>
      <c r="I1" s="152"/>
    </row>
    <row r="2" spans="1:9" x14ac:dyDescent="0.3">
      <c r="A2" s="152" t="s">
        <v>280</v>
      </c>
      <c r="B2" s="152"/>
      <c r="C2" s="152"/>
      <c r="D2" s="152"/>
      <c r="E2" s="152"/>
      <c r="F2" s="152"/>
      <c r="G2" s="152"/>
      <c r="H2" s="152"/>
      <c r="I2" s="152"/>
    </row>
    <row r="3" spans="1:9" ht="48" customHeight="1" x14ac:dyDescent="0.3">
      <c r="A3" s="13" t="s">
        <v>1</v>
      </c>
      <c r="B3" s="13" t="s">
        <v>281</v>
      </c>
      <c r="C3" s="13" t="s">
        <v>282</v>
      </c>
      <c r="D3" s="13" t="s">
        <v>283</v>
      </c>
      <c r="E3" s="13" t="s">
        <v>284</v>
      </c>
      <c r="F3" s="13" t="s">
        <v>285</v>
      </c>
      <c r="G3" s="13" t="s">
        <v>286</v>
      </c>
      <c r="H3" s="13" t="s">
        <v>287</v>
      </c>
      <c r="I3" s="13" t="s">
        <v>288</v>
      </c>
    </row>
    <row r="4" spans="1:9" ht="29.25" customHeight="1" x14ac:dyDescent="0.3">
      <c r="A4" s="2">
        <v>1</v>
      </c>
      <c r="B4" s="58" t="s">
        <v>289</v>
      </c>
      <c r="C4" s="158">
        <v>1</v>
      </c>
      <c r="D4" s="2">
        <v>2</v>
      </c>
      <c r="E4" s="2">
        <v>2</v>
      </c>
      <c r="F4" s="126">
        <v>92.3</v>
      </c>
      <c r="G4" s="59">
        <f t="shared" ref="G4:G9" si="0">D4*E4*F4</f>
        <v>369.2</v>
      </c>
      <c r="H4" s="59">
        <f t="shared" ref="H4:H9" si="1">TRUNC(($C$4*G4),2)</f>
        <v>369.2</v>
      </c>
      <c r="I4" s="59">
        <f t="shared" ref="I4:I9" si="2">TRUNC((H4/12),2)</f>
        <v>30.76</v>
      </c>
    </row>
    <row r="5" spans="1:9" ht="28.5" customHeight="1" x14ac:dyDescent="0.3">
      <c r="A5" s="2">
        <v>2</v>
      </c>
      <c r="B5" s="58" t="s">
        <v>290</v>
      </c>
      <c r="C5" s="158"/>
      <c r="D5" s="2">
        <v>4</v>
      </c>
      <c r="E5" s="2">
        <v>2</v>
      </c>
      <c r="F5" s="126">
        <v>79.319999999999993</v>
      </c>
      <c r="G5" s="59">
        <f t="shared" si="0"/>
        <v>634.55999999999995</v>
      </c>
      <c r="H5" s="59">
        <f t="shared" si="1"/>
        <v>634.55999999999995</v>
      </c>
      <c r="I5" s="59">
        <f t="shared" si="2"/>
        <v>52.88</v>
      </c>
    </row>
    <row r="6" spans="1:9" ht="18.75" customHeight="1" x14ac:dyDescent="0.3">
      <c r="A6" s="2">
        <v>3</v>
      </c>
      <c r="B6" s="58" t="s">
        <v>291</v>
      </c>
      <c r="C6" s="158"/>
      <c r="D6" s="2">
        <v>4</v>
      </c>
      <c r="E6" s="2">
        <v>2</v>
      </c>
      <c r="F6" s="126">
        <v>21.25</v>
      </c>
      <c r="G6" s="59">
        <f t="shared" si="0"/>
        <v>170</v>
      </c>
      <c r="H6" s="59">
        <f t="shared" si="1"/>
        <v>170</v>
      </c>
      <c r="I6" s="59">
        <f t="shared" si="2"/>
        <v>14.16</v>
      </c>
    </row>
    <row r="7" spans="1:9" x14ac:dyDescent="0.3">
      <c r="A7" s="2">
        <v>4</v>
      </c>
      <c r="B7" s="1" t="s">
        <v>292</v>
      </c>
      <c r="C7" s="158"/>
      <c r="D7" s="2">
        <v>2</v>
      </c>
      <c r="E7" s="2">
        <v>2</v>
      </c>
      <c r="F7" s="126">
        <v>100.79</v>
      </c>
      <c r="G7" s="59">
        <f t="shared" si="0"/>
        <v>403.16</v>
      </c>
      <c r="H7" s="59">
        <f t="shared" si="1"/>
        <v>403.16</v>
      </c>
      <c r="I7" s="59">
        <f t="shared" si="2"/>
        <v>33.590000000000003</v>
      </c>
    </row>
    <row r="8" spans="1:9" x14ac:dyDescent="0.3">
      <c r="A8" s="2">
        <v>5</v>
      </c>
      <c r="B8" s="1" t="s">
        <v>293</v>
      </c>
      <c r="C8" s="158"/>
      <c r="D8" s="2">
        <v>2</v>
      </c>
      <c r="E8" s="2">
        <v>2</v>
      </c>
      <c r="F8" s="126">
        <v>75.260000000000005</v>
      </c>
      <c r="G8" s="59">
        <f t="shared" si="0"/>
        <v>301.04000000000002</v>
      </c>
      <c r="H8" s="59">
        <f t="shared" si="1"/>
        <v>301.04000000000002</v>
      </c>
      <c r="I8" s="59">
        <f t="shared" si="2"/>
        <v>25.08</v>
      </c>
    </row>
    <row r="9" spans="1:9" x14ac:dyDescent="0.3">
      <c r="A9" s="2">
        <v>6</v>
      </c>
      <c r="B9" s="1" t="s">
        <v>294</v>
      </c>
      <c r="C9" s="158"/>
      <c r="D9" s="2">
        <v>1</v>
      </c>
      <c r="E9" s="2">
        <v>2</v>
      </c>
      <c r="F9" s="126">
        <v>126.77</v>
      </c>
      <c r="G9" s="59">
        <f t="shared" si="0"/>
        <v>253.54</v>
      </c>
      <c r="H9" s="59">
        <f t="shared" si="1"/>
        <v>253.54</v>
      </c>
      <c r="I9" s="59">
        <f t="shared" si="2"/>
        <v>21.12</v>
      </c>
    </row>
    <row r="10" spans="1:9" x14ac:dyDescent="0.3">
      <c r="A10" s="60"/>
      <c r="B10" s="160" t="s">
        <v>53</v>
      </c>
      <c r="C10" s="160"/>
      <c r="D10" s="160"/>
      <c r="E10" s="160"/>
      <c r="F10" s="61">
        <f>SUM(F4:F9)</f>
        <v>495.69</v>
      </c>
      <c r="G10" s="62">
        <f>SUM(G4:G9)</f>
        <v>2131.5</v>
      </c>
      <c r="H10" s="62">
        <f>SUM(H4:H9)</f>
        <v>2131.5</v>
      </c>
      <c r="I10" s="62">
        <f>SUM(I4:I9)</f>
        <v>177.58999999999997</v>
      </c>
    </row>
    <row r="11" spans="1:9" x14ac:dyDescent="0.3">
      <c r="A11" s="63"/>
      <c r="B11" s="63"/>
      <c r="C11" s="63"/>
      <c r="D11" s="63"/>
      <c r="E11" s="63"/>
      <c r="F11" s="63"/>
      <c r="G11" s="63"/>
      <c r="H11" s="63"/>
      <c r="I11" s="63"/>
    </row>
    <row r="12" spans="1:9" x14ac:dyDescent="0.3">
      <c r="A12" s="152" t="s">
        <v>295</v>
      </c>
      <c r="B12" s="152"/>
      <c r="C12" s="152"/>
      <c r="D12" s="152"/>
      <c r="E12" s="152"/>
      <c r="F12" s="152"/>
      <c r="G12" s="152"/>
      <c r="H12" s="152"/>
      <c r="I12" s="152"/>
    </row>
    <row r="13" spans="1:9" ht="42.75" customHeight="1" x14ac:dyDescent="0.3">
      <c r="A13" s="13" t="s">
        <v>1</v>
      </c>
      <c r="B13" s="13" t="s">
        <v>281</v>
      </c>
      <c r="C13" s="13" t="s">
        <v>282</v>
      </c>
      <c r="D13" s="13" t="s">
        <v>283</v>
      </c>
      <c r="E13" s="13" t="s">
        <v>284</v>
      </c>
      <c r="F13" s="13" t="s">
        <v>285</v>
      </c>
      <c r="G13" s="13" t="s">
        <v>286</v>
      </c>
      <c r="H13" s="13" t="s">
        <v>287</v>
      </c>
      <c r="I13" s="13" t="s">
        <v>288</v>
      </c>
    </row>
    <row r="14" spans="1:9" ht="70.5" customHeight="1" x14ac:dyDescent="0.3">
      <c r="A14" s="2">
        <v>1</v>
      </c>
      <c r="B14" s="58" t="s">
        <v>296</v>
      </c>
      <c r="C14" s="158">
        <v>1</v>
      </c>
      <c r="D14" s="2">
        <v>4</v>
      </c>
      <c r="E14" s="2">
        <v>2</v>
      </c>
      <c r="F14" s="126">
        <v>79.86</v>
      </c>
      <c r="G14" s="59">
        <f>D14*E14*F14</f>
        <v>638.88</v>
      </c>
      <c r="H14" s="59">
        <f>TRUNC(($C$14*G14),2)</f>
        <v>638.88</v>
      </c>
      <c r="I14" s="59">
        <f>TRUNC((H14/12),2)</f>
        <v>53.24</v>
      </c>
    </row>
    <row r="15" spans="1:9" ht="69" customHeight="1" x14ac:dyDescent="0.3">
      <c r="A15" s="2">
        <v>2</v>
      </c>
      <c r="B15" s="58" t="s">
        <v>297</v>
      </c>
      <c r="C15" s="158"/>
      <c r="D15" s="2">
        <v>2</v>
      </c>
      <c r="E15" s="2">
        <v>2</v>
      </c>
      <c r="F15" s="126">
        <v>85.72</v>
      </c>
      <c r="G15" s="59">
        <f>D15*E15*F15</f>
        <v>342.88</v>
      </c>
      <c r="H15" s="59">
        <f>TRUNC(($C$14*G15),2)</f>
        <v>342.88</v>
      </c>
      <c r="I15" s="59">
        <f>TRUNC((H15/12),2)</f>
        <v>28.57</v>
      </c>
    </row>
    <row r="16" spans="1:9" ht="24.75" customHeight="1" x14ac:dyDescent="0.3">
      <c r="A16" s="2">
        <v>3</v>
      </c>
      <c r="B16" s="58" t="s">
        <v>298</v>
      </c>
      <c r="C16" s="158"/>
      <c r="D16" s="2">
        <v>4</v>
      </c>
      <c r="E16" s="2">
        <v>2</v>
      </c>
      <c r="F16" s="126">
        <v>27.15</v>
      </c>
      <c r="G16" s="59">
        <f>D16*E16*F16</f>
        <v>217.2</v>
      </c>
      <c r="H16" s="59">
        <f>TRUNC(($C$14*G16),2)</f>
        <v>217.2</v>
      </c>
      <c r="I16" s="59">
        <f>TRUNC((H16/12),2)</f>
        <v>18.100000000000001</v>
      </c>
    </row>
    <row r="17" spans="1:9" ht="36.75" customHeight="1" x14ac:dyDescent="0.3">
      <c r="A17" s="2">
        <v>4</v>
      </c>
      <c r="B17" s="58" t="s">
        <v>299</v>
      </c>
      <c r="C17" s="158"/>
      <c r="D17" s="2">
        <v>2</v>
      </c>
      <c r="E17" s="2">
        <v>2</v>
      </c>
      <c r="F17" s="126">
        <v>142.19999999999999</v>
      </c>
      <c r="G17" s="59">
        <f>D17*E17*F17</f>
        <v>568.79999999999995</v>
      </c>
      <c r="H17" s="59">
        <f>TRUNC(($C$14*G17),2)</f>
        <v>568.79999999999995</v>
      </c>
      <c r="I17" s="59">
        <f>TRUNC((H17/12),2)</f>
        <v>47.4</v>
      </c>
    </row>
    <row r="18" spans="1:9" x14ac:dyDescent="0.3">
      <c r="A18" s="2">
        <v>5</v>
      </c>
      <c r="B18" s="1" t="s">
        <v>300</v>
      </c>
      <c r="C18" s="158"/>
      <c r="D18" s="2">
        <v>1</v>
      </c>
      <c r="E18" s="2">
        <v>2</v>
      </c>
      <c r="F18" s="126">
        <v>126.77</v>
      </c>
      <c r="G18" s="59">
        <f>D18*E18*F18</f>
        <v>253.54</v>
      </c>
      <c r="H18" s="59">
        <f>TRUNC(($C$14*G18),2)</f>
        <v>253.54</v>
      </c>
      <c r="I18" s="59">
        <f>TRUNC((H18/12),2)</f>
        <v>21.12</v>
      </c>
    </row>
    <row r="19" spans="1:9" x14ac:dyDescent="0.3">
      <c r="A19" s="60"/>
      <c r="B19" s="160" t="s">
        <v>53</v>
      </c>
      <c r="C19" s="160"/>
      <c r="D19" s="160"/>
      <c r="E19" s="160"/>
      <c r="F19" s="61">
        <f>SUM(F14:F18)</f>
        <v>461.69999999999993</v>
      </c>
      <c r="G19" s="61">
        <f>SUM(G14:G18)</f>
        <v>2021.3</v>
      </c>
      <c r="H19" s="61">
        <f>SUM(H14:H18)</f>
        <v>2021.3</v>
      </c>
      <c r="I19" s="64">
        <f>SUM(I14:I18)</f>
        <v>168.43</v>
      </c>
    </row>
    <row r="20" spans="1:9" x14ac:dyDescent="0.3">
      <c r="A20" s="63"/>
      <c r="B20" s="63"/>
      <c r="C20" s="63"/>
      <c r="D20" s="63"/>
      <c r="E20" s="63"/>
      <c r="F20" s="63"/>
      <c r="G20" s="63"/>
      <c r="H20" s="63"/>
      <c r="I20" s="63"/>
    </row>
    <row r="21" spans="1:9" x14ac:dyDescent="0.3">
      <c r="A21" s="152" t="s">
        <v>301</v>
      </c>
      <c r="B21" s="152"/>
      <c r="C21" s="152"/>
      <c r="D21" s="152"/>
      <c r="E21" s="152"/>
      <c r="F21" s="152"/>
      <c r="G21" s="152"/>
      <c r="H21" s="152"/>
      <c r="I21" s="152"/>
    </row>
    <row r="22" spans="1:9" ht="54" customHeight="1" x14ac:dyDescent="0.3">
      <c r="A22" s="13" t="s">
        <v>1</v>
      </c>
      <c r="B22" s="13" t="s">
        <v>281</v>
      </c>
      <c r="C22" s="13" t="s">
        <v>282</v>
      </c>
      <c r="D22" s="13" t="s">
        <v>283</v>
      </c>
      <c r="E22" s="13" t="s">
        <v>284</v>
      </c>
      <c r="F22" s="13" t="s">
        <v>285</v>
      </c>
      <c r="G22" s="13" t="s">
        <v>286</v>
      </c>
      <c r="H22" s="13" t="s">
        <v>287</v>
      </c>
      <c r="I22" s="13" t="s">
        <v>288</v>
      </c>
    </row>
    <row r="23" spans="1:9" ht="15" customHeight="1" x14ac:dyDescent="0.3">
      <c r="A23" s="2" t="s">
        <v>302</v>
      </c>
      <c r="B23" s="141" t="s">
        <v>303</v>
      </c>
      <c r="C23" s="141"/>
      <c r="D23" s="141"/>
      <c r="E23" s="141"/>
      <c r="F23" s="47">
        <f>F10+F19</f>
        <v>957.38999999999987</v>
      </c>
      <c r="G23" s="47">
        <f>G10+G19</f>
        <v>4152.8</v>
      </c>
      <c r="H23" s="47">
        <f>H10+H19</f>
        <v>4152.8</v>
      </c>
      <c r="I23" s="23">
        <f>(I10+I19)/2</f>
        <v>173.01</v>
      </c>
    </row>
    <row r="24" spans="1:9" x14ac:dyDescent="0.3">
      <c r="A24" s="24"/>
      <c r="B24" s="24"/>
      <c r="C24" s="24"/>
      <c r="D24" s="24"/>
      <c r="E24" s="24"/>
      <c r="F24" s="24"/>
      <c r="G24" s="24"/>
      <c r="H24" s="24"/>
      <c r="I24" s="24"/>
    </row>
    <row r="25" spans="1:9" x14ac:dyDescent="0.3">
      <c r="A25" s="24"/>
      <c r="B25" s="24"/>
      <c r="C25" s="24"/>
      <c r="D25" s="24"/>
      <c r="E25" s="24"/>
      <c r="F25" s="24"/>
      <c r="G25" s="24"/>
      <c r="H25" s="24"/>
      <c r="I25" s="24"/>
    </row>
    <row r="26" spans="1:9" x14ac:dyDescent="0.3">
      <c r="A26" s="24"/>
      <c r="B26" s="24"/>
      <c r="C26" s="24"/>
      <c r="D26" s="24"/>
      <c r="E26" s="24"/>
      <c r="F26" s="24"/>
      <c r="G26" s="24"/>
      <c r="H26" s="24"/>
      <c r="I26" s="24"/>
    </row>
    <row r="27" spans="1:9" x14ac:dyDescent="0.3">
      <c r="A27" s="152" t="s">
        <v>304</v>
      </c>
      <c r="B27" s="152"/>
      <c r="C27" s="152"/>
      <c r="D27" s="152"/>
      <c r="E27" s="152"/>
      <c r="F27" s="152"/>
      <c r="G27" s="152"/>
      <c r="H27" s="152"/>
      <c r="I27" s="152"/>
    </row>
    <row r="28" spans="1:9" ht="53.25" customHeight="1" x14ac:dyDescent="0.3">
      <c r="A28" s="13" t="s">
        <v>1</v>
      </c>
      <c r="B28" s="13" t="s">
        <v>281</v>
      </c>
      <c r="C28" s="13" t="s">
        <v>282</v>
      </c>
      <c r="D28" s="13" t="s">
        <v>283</v>
      </c>
      <c r="E28" s="13" t="s">
        <v>284</v>
      </c>
      <c r="F28" s="13" t="s">
        <v>285</v>
      </c>
      <c r="G28" s="13" t="s">
        <v>286</v>
      </c>
      <c r="H28" s="13" t="s">
        <v>287</v>
      </c>
      <c r="I28" s="13" t="s">
        <v>288</v>
      </c>
    </row>
    <row r="29" spans="1:9" x14ac:dyDescent="0.3">
      <c r="A29" s="2">
        <v>1</v>
      </c>
      <c r="B29" s="1" t="s">
        <v>305</v>
      </c>
      <c r="C29" s="158">
        <v>1</v>
      </c>
      <c r="D29" s="5">
        <v>3</v>
      </c>
      <c r="E29" s="2">
        <v>2</v>
      </c>
      <c r="F29" s="126">
        <v>57.67</v>
      </c>
      <c r="G29" s="59">
        <f>D29*E29*F29</f>
        <v>346.02</v>
      </c>
      <c r="H29" s="59">
        <f>TRUNC(($C$29*G29),2)</f>
        <v>346.02</v>
      </c>
      <c r="I29" s="59">
        <f>TRUNC((H29/12),2)</f>
        <v>28.83</v>
      </c>
    </row>
    <row r="30" spans="1:9" ht="19.5" customHeight="1" x14ac:dyDescent="0.3">
      <c r="A30" s="2">
        <v>2</v>
      </c>
      <c r="B30" s="58" t="s">
        <v>306</v>
      </c>
      <c r="C30" s="158"/>
      <c r="D30" s="5">
        <v>4</v>
      </c>
      <c r="E30" s="2">
        <v>2</v>
      </c>
      <c r="F30" s="126">
        <v>63.45</v>
      </c>
      <c r="G30" s="59">
        <f>D30*E30*F30</f>
        <v>507.6</v>
      </c>
      <c r="H30" s="59">
        <f>TRUNC(($C$29*G30),2)</f>
        <v>507.6</v>
      </c>
      <c r="I30" s="59">
        <f>TRUNC((H30/12),2)</f>
        <v>42.3</v>
      </c>
    </row>
    <row r="31" spans="1:9" ht="44.25" customHeight="1" x14ac:dyDescent="0.3">
      <c r="A31" s="2">
        <v>3</v>
      </c>
      <c r="B31" s="58" t="s">
        <v>307</v>
      </c>
      <c r="C31" s="158"/>
      <c r="D31" s="5">
        <v>1</v>
      </c>
      <c r="E31" s="2">
        <v>2</v>
      </c>
      <c r="F31" s="126">
        <v>79.709999999999994</v>
      </c>
      <c r="G31" s="59">
        <f>D31*E31*F31</f>
        <v>159.41999999999999</v>
      </c>
      <c r="H31" s="59">
        <f>TRUNC(($C$29*G31),2)</f>
        <v>159.41999999999999</v>
      </c>
      <c r="I31" s="59">
        <f>TRUNC((H31/12),2)</f>
        <v>13.28</v>
      </c>
    </row>
    <row r="32" spans="1:9" ht="30.75" customHeight="1" x14ac:dyDescent="0.3">
      <c r="A32" s="2">
        <v>4</v>
      </c>
      <c r="B32" s="58" t="s">
        <v>308</v>
      </c>
      <c r="C32" s="158"/>
      <c r="D32" s="5">
        <v>4</v>
      </c>
      <c r="E32" s="2">
        <v>2</v>
      </c>
      <c r="F32" s="126">
        <v>9.23</v>
      </c>
      <c r="G32" s="59">
        <f>D32*E32*F32</f>
        <v>73.84</v>
      </c>
      <c r="H32" s="59">
        <f>TRUNC(($C$29*G32),2)</f>
        <v>73.84</v>
      </c>
      <c r="I32" s="59">
        <f>TRUNC((H32/12),2)</f>
        <v>6.15</v>
      </c>
    </row>
    <row r="33" spans="1:9" ht="29.25" customHeight="1" x14ac:dyDescent="0.3">
      <c r="A33" s="2">
        <v>5</v>
      </c>
      <c r="B33" s="58" t="s">
        <v>309</v>
      </c>
      <c r="C33" s="158"/>
      <c r="D33" s="5">
        <v>1</v>
      </c>
      <c r="E33" s="2">
        <v>1</v>
      </c>
      <c r="F33" s="126">
        <v>69.760000000000005</v>
      </c>
      <c r="G33" s="59">
        <f>D33*E33*F33</f>
        <v>69.760000000000005</v>
      </c>
      <c r="H33" s="59">
        <f>TRUNC(($C$29*G33),2)</f>
        <v>69.760000000000005</v>
      </c>
      <c r="I33" s="59">
        <f>TRUNC((H33/12),2)</f>
        <v>5.81</v>
      </c>
    </row>
    <row r="34" spans="1:9" x14ac:dyDescent="0.3">
      <c r="A34" s="2"/>
      <c r="B34" s="159" t="s">
        <v>53</v>
      </c>
      <c r="C34" s="159"/>
      <c r="D34" s="159"/>
      <c r="E34" s="159"/>
      <c r="F34" s="47">
        <f>SUM(F29:F33)</f>
        <v>279.82</v>
      </c>
      <c r="G34" s="47">
        <f>SUM(G29:G33)</f>
        <v>1156.6399999999999</v>
      </c>
      <c r="H34" s="47">
        <f>SUM(H29:H33)</f>
        <v>1156.6399999999999</v>
      </c>
      <c r="I34" s="23">
        <f>SUM(I29:I33)</f>
        <v>96.37</v>
      </c>
    </row>
    <row r="35" spans="1:9" x14ac:dyDescent="0.3">
      <c r="A35" s="25"/>
      <c r="B35" s="25"/>
      <c r="C35" s="25"/>
      <c r="D35" s="25"/>
      <c r="E35" s="25"/>
      <c r="F35" s="25"/>
      <c r="G35" s="25"/>
      <c r="H35" s="25"/>
      <c r="I35" s="25"/>
    </row>
    <row r="36" spans="1:9" x14ac:dyDescent="0.3">
      <c r="A36" s="25"/>
      <c r="B36" s="25"/>
      <c r="C36" s="25"/>
      <c r="D36" s="25"/>
      <c r="E36" s="25"/>
      <c r="F36" s="25"/>
      <c r="G36" s="25"/>
      <c r="H36" s="25"/>
      <c r="I36" s="25"/>
    </row>
    <row r="37" spans="1:9" x14ac:dyDescent="0.3">
      <c r="A37" s="25"/>
      <c r="B37" s="25"/>
      <c r="C37" s="25"/>
      <c r="D37" s="25"/>
      <c r="E37" s="25"/>
      <c r="F37" s="25"/>
      <c r="G37" s="25"/>
      <c r="H37" s="25"/>
      <c r="I37" s="25"/>
    </row>
    <row r="38" spans="1:9" x14ac:dyDescent="0.3">
      <c r="A38" s="25"/>
      <c r="B38" s="25"/>
      <c r="C38" s="25"/>
      <c r="D38" s="25"/>
      <c r="E38" s="25"/>
      <c r="F38" s="25"/>
      <c r="G38" s="25"/>
      <c r="H38" s="25"/>
      <c r="I38" s="25"/>
    </row>
    <row r="39" spans="1:9" x14ac:dyDescent="0.3">
      <c r="A39" s="25"/>
      <c r="B39" s="25"/>
      <c r="C39" s="25"/>
      <c r="D39" s="25"/>
      <c r="E39" s="25"/>
      <c r="F39" s="25"/>
      <c r="G39" s="25"/>
      <c r="H39" s="25"/>
      <c r="I39" s="25"/>
    </row>
    <row r="40" spans="1:9" x14ac:dyDescent="0.3">
      <c r="A40" s="25"/>
      <c r="B40" s="25"/>
      <c r="C40" s="25"/>
      <c r="D40" s="25"/>
      <c r="E40" s="25"/>
      <c r="F40" s="25"/>
      <c r="G40" s="25"/>
      <c r="H40" s="25"/>
      <c r="I40" s="25"/>
    </row>
  </sheetData>
  <sheetProtection sheet="1" objects="1" scenarios="1"/>
  <protectedRanges>
    <protectedRange sqref="F29:F33" name="Intervalo3"/>
    <protectedRange sqref="F4:F9" name="Intervalo1"/>
    <protectedRange sqref="F14:F18" name="Intervalo2"/>
  </protectedRanges>
  <mergeCells count="12">
    <mergeCell ref="A1:I1"/>
    <mergeCell ref="A2:I2"/>
    <mergeCell ref="C4:C9"/>
    <mergeCell ref="B10:E10"/>
    <mergeCell ref="A12:I12"/>
    <mergeCell ref="C29:C33"/>
    <mergeCell ref="B34:E34"/>
    <mergeCell ref="C14:C18"/>
    <mergeCell ref="B19:E19"/>
    <mergeCell ref="A21:I21"/>
    <mergeCell ref="B23:E23"/>
    <mergeCell ref="A27:I27"/>
  </mergeCells>
  <pageMargins left="0.7" right="0.7" top="0.75" bottom="0.75"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1"/>
  <sheetViews>
    <sheetView zoomScale="90" zoomScaleNormal="90" workbookViewId="0">
      <selection activeCell="C3" sqref="C3"/>
    </sheetView>
  </sheetViews>
  <sheetFormatPr defaultColWidth="8.6640625" defaultRowHeight="14.4" x14ac:dyDescent="0.3"/>
  <cols>
    <col min="2" max="2" width="41.88671875" customWidth="1"/>
    <col min="3" max="3" width="19.6640625" customWidth="1"/>
    <col min="4" max="4" width="21.6640625" customWidth="1"/>
    <col min="5" max="5" width="26.88671875" customWidth="1"/>
  </cols>
  <sheetData>
    <row r="1" spans="1:5" ht="19.5" customHeight="1" x14ac:dyDescent="0.3">
      <c r="A1" s="161" t="s">
        <v>310</v>
      </c>
      <c r="B1" s="161"/>
      <c r="C1" s="161"/>
      <c r="D1" s="161"/>
      <c r="E1" s="161"/>
    </row>
    <row r="2" spans="1:5" ht="19.5" customHeight="1" x14ac:dyDescent="0.3">
      <c r="A2" s="13" t="s">
        <v>1</v>
      </c>
      <c r="B2" s="13" t="s">
        <v>311</v>
      </c>
      <c r="C2" s="13" t="s">
        <v>90</v>
      </c>
      <c r="D2" s="13" t="s">
        <v>62</v>
      </c>
      <c r="E2" s="13" t="s">
        <v>68</v>
      </c>
    </row>
    <row r="3" spans="1:5" ht="19.5" customHeight="1" x14ac:dyDescent="0.3">
      <c r="A3" s="7">
        <v>1</v>
      </c>
      <c r="B3" s="58" t="s">
        <v>312</v>
      </c>
      <c r="C3" s="127">
        <v>41.98</v>
      </c>
      <c r="D3" s="7">
        <v>1</v>
      </c>
      <c r="E3" s="28">
        <f>C3*D3</f>
        <v>41.98</v>
      </c>
    </row>
    <row r="4" spans="1:5" ht="19.5" customHeight="1" x14ac:dyDescent="0.3">
      <c r="A4" s="7">
        <v>2</v>
      </c>
      <c r="B4" s="58" t="s">
        <v>313</v>
      </c>
      <c r="C4" s="127">
        <v>20.87</v>
      </c>
      <c r="D4" s="7">
        <v>1</v>
      </c>
      <c r="E4" s="28">
        <f>C4*D4</f>
        <v>20.87</v>
      </c>
    </row>
    <row r="5" spans="1:5" ht="19.5" customHeight="1" x14ac:dyDescent="0.3">
      <c r="A5" s="7"/>
      <c r="B5" s="7"/>
      <c r="C5" s="7"/>
      <c r="D5" s="7"/>
      <c r="E5" s="7"/>
    </row>
    <row r="6" spans="1:5" ht="19.5" customHeight="1" x14ac:dyDescent="0.3">
      <c r="A6" s="13" t="s">
        <v>53</v>
      </c>
      <c r="B6" s="7"/>
      <c r="C6" s="65">
        <f>SUM(C3:C4)</f>
        <v>62.849999999999994</v>
      </c>
      <c r="D6" s="7"/>
      <c r="E6" s="65">
        <f>SUM(E3:E4)</f>
        <v>62.849999999999994</v>
      </c>
    </row>
    <row r="7" spans="1:5" ht="19.5" customHeight="1" x14ac:dyDescent="0.3">
      <c r="A7" s="24"/>
      <c r="B7" s="24"/>
      <c r="C7" s="24"/>
      <c r="D7" s="24"/>
      <c r="E7" s="24"/>
    </row>
    <row r="8" spans="1:5" ht="19.5" customHeight="1" x14ac:dyDescent="0.3">
      <c r="A8" s="24"/>
      <c r="B8" s="24"/>
      <c r="C8" s="162" t="s">
        <v>111</v>
      </c>
      <c r="D8" s="162"/>
      <c r="E8" s="23">
        <f>TRUNC((E6/12),2)</f>
        <v>5.23</v>
      </c>
    </row>
    <row r="9" spans="1:5" x14ac:dyDescent="0.3">
      <c r="A9" s="38"/>
      <c r="B9" s="38"/>
      <c r="C9" s="38"/>
      <c r="D9" s="38"/>
      <c r="E9" s="38"/>
    </row>
    <row r="10" spans="1:5" x14ac:dyDescent="0.3">
      <c r="A10" s="38"/>
      <c r="B10" s="38"/>
      <c r="C10" s="38"/>
      <c r="D10" s="38"/>
      <c r="E10" s="38"/>
    </row>
    <row r="11" spans="1:5" x14ac:dyDescent="0.3">
      <c r="A11" s="38"/>
      <c r="B11" s="38"/>
      <c r="C11" s="38"/>
      <c r="D11" s="38"/>
      <c r="E11" s="38"/>
    </row>
  </sheetData>
  <sheetProtection sheet="1" objects="1" scenarios="1"/>
  <protectedRanges>
    <protectedRange sqref="C3:C4" name="Intervalo1"/>
  </protectedRanges>
  <mergeCells count="2">
    <mergeCell ref="A1:E1"/>
    <mergeCell ref="C8:D8"/>
  </mergeCells>
  <pageMargins left="0.7" right="0.7" top="0.75" bottom="0.75" header="0.511811023622047" footer="0.511811023622047"/>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43"/>
  <sheetViews>
    <sheetView zoomScale="150" zoomScaleNormal="150" workbookViewId="0">
      <selection activeCell="C10" sqref="C10:F10"/>
    </sheetView>
  </sheetViews>
  <sheetFormatPr defaultColWidth="8.6640625" defaultRowHeight="14.4" x14ac:dyDescent="0.3"/>
  <cols>
    <col min="1" max="1" width="14.44140625" customWidth="1"/>
    <col min="2" max="2" width="21.44140625" customWidth="1"/>
    <col min="3" max="3" width="20.5546875" customWidth="1"/>
    <col min="4" max="4" width="18.5546875" customWidth="1"/>
    <col min="5" max="5" width="18.6640625" customWidth="1"/>
    <col min="6" max="6" width="18.5546875" customWidth="1"/>
  </cols>
  <sheetData>
    <row r="1" spans="1:6" x14ac:dyDescent="0.3">
      <c r="A1" s="186"/>
      <c r="B1" s="186"/>
      <c r="C1" s="186"/>
      <c r="D1" s="186"/>
      <c r="E1" s="186"/>
      <c r="F1" s="186"/>
    </row>
    <row r="2" spans="1:6" x14ac:dyDescent="0.3">
      <c r="A2" s="186"/>
      <c r="B2" s="186"/>
      <c r="C2" s="186"/>
      <c r="D2" s="186"/>
      <c r="E2" s="186"/>
      <c r="F2" s="186"/>
    </row>
    <row r="3" spans="1:6" x14ac:dyDescent="0.3">
      <c r="A3" s="186"/>
      <c r="B3" s="186"/>
      <c r="C3" s="186"/>
      <c r="D3" s="186"/>
      <c r="E3" s="186"/>
      <c r="F3" s="186"/>
    </row>
    <row r="4" spans="1:6" x14ac:dyDescent="0.3">
      <c r="A4" s="186"/>
      <c r="B4" s="186"/>
      <c r="C4" s="186"/>
      <c r="D4" s="186"/>
      <c r="E4" s="186"/>
      <c r="F4" s="186"/>
    </row>
    <row r="5" spans="1:6" x14ac:dyDescent="0.3">
      <c r="A5" s="186"/>
      <c r="B5" s="186"/>
      <c r="C5" s="186"/>
      <c r="D5" s="186"/>
      <c r="E5" s="186"/>
      <c r="F5" s="186"/>
    </row>
    <row r="6" spans="1:6" x14ac:dyDescent="0.3">
      <c r="A6" s="186"/>
      <c r="B6" s="186"/>
      <c r="C6" s="186"/>
      <c r="D6" s="186"/>
      <c r="E6" s="186"/>
      <c r="F6" s="186"/>
    </row>
    <row r="7" spans="1:6" x14ac:dyDescent="0.3">
      <c r="A7" s="167"/>
      <c r="B7" s="167"/>
      <c r="C7" s="167"/>
      <c r="D7" s="167"/>
      <c r="E7" s="167"/>
      <c r="F7" s="167"/>
    </row>
    <row r="8" spans="1:6" x14ac:dyDescent="0.3">
      <c r="A8" s="169" t="s">
        <v>314</v>
      </c>
      <c r="B8" s="169"/>
      <c r="C8" s="169"/>
      <c r="D8" s="169"/>
      <c r="E8" s="169"/>
      <c r="F8" s="169"/>
    </row>
    <row r="9" spans="1:6" x14ac:dyDescent="0.3">
      <c r="A9" s="171" t="s">
        <v>315</v>
      </c>
      <c r="B9" s="171"/>
      <c r="C9" s="187" t="s">
        <v>316</v>
      </c>
      <c r="D9" s="187"/>
      <c r="E9" s="187"/>
      <c r="F9" s="187"/>
    </row>
    <row r="10" spans="1:6" x14ac:dyDescent="0.3">
      <c r="A10" s="172" t="s">
        <v>317</v>
      </c>
      <c r="B10" s="172"/>
      <c r="C10" s="188" t="s">
        <v>318</v>
      </c>
      <c r="D10" s="188"/>
      <c r="E10" s="188"/>
      <c r="F10" s="188"/>
    </row>
    <row r="11" spans="1:6" x14ac:dyDescent="0.3">
      <c r="A11" s="167"/>
      <c r="B11" s="167"/>
      <c r="C11" s="167"/>
      <c r="D11" s="167"/>
      <c r="E11" s="167"/>
      <c r="F11" s="167"/>
    </row>
    <row r="12" spans="1:6" x14ac:dyDescent="0.3">
      <c r="A12" s="169" t="s">
        <v>319</v>
      </c>
      <c r="B12" s="169"/>
      <c r="C12" s="169"/>
      <c r="D12" s="169"/>
      <c r="E12" s="169"/>
      <c r="F12" s="169"/>
    </row>
    <row r="13" spans="1:6" x14ac:dyDescent="0.3">
      <c r="A13" s="171" t="s">
        <v>320</v>
      </c>
      <c r="B13" s="171"/>
      <c r="C13" s="184" t="s">
        <v>321</v>
      </c>
      <c r="D13" s="184"/>
      <c r="E13" s="184"/>
      <c r="F13" s="184"/>
    </row>
    <row r="14" spans="1:6" x14ac:dyDescent="0.3">
      <c r="A14" s="172" t="s">
        <v>322</v>
      </c>
      <c r="B14" s="172"/>
      <c r="C14" s="172" t="s">
        <v>323</v>
      </c>
      <c r="D14" s="172"/>
      <c r="E14" s="172"/>
      <c r="F14" s="172"/>
    </row>
    <row r="15" spans="1:6" ht="16.5" customHeight="1" x14ac:dyDescent="0.3">
      <c r="A15" s="143" t="s">
        <v>324</v>
      </c>
      <c r="B15" s="143"/>
      <c r="C15" s="185" t="s">
        <v>325</v>
      </c>
      <c r="D15" s="185"/>
      <c r="E15" s="185"/>
      <c r="F15" s="185"/>
    </row>
    <row r="16" spans="1:6" x14ac:dyDescent="0.3">
      <c r="A16" s="143"/>
      <c r="B16" s="143"/>
      <c r="C16" s="185" t="s">
        <v>326</v>
      </c>
      <c r="D16" s="185"/>
      <c r="E16" s="185"/>
      <c r="F16" s="185"/>
    </row>
    <row r="17" spans="1:6" x14ac:dyDescent="0.3">
      <c r="A17" s="143"/>
      <c r="B17" s="143"/>
      <c r="C17" s="185" t="s">
        <v>327</v>
      </c>
      <c r="D17" s="185"/>
      <c r="E17" s="185"/>
      <c r="F17" s="185"/>
    </row>
    <row r="18" spans="1:6" x14ac:dyDescent="0.3">
      <c r="A18" s="172" t="s">
        <v>328</v>
      </c>
      <c r="B18" s="172"/>
      <c r="C18" s="172">
        <v>12</v>
      </c>
      <c r="D18" s="172"/>
      <c r="E18" s="172"/>
      <c r="F18" s="172"/>
    </row>
    <row r="19" spans="1:6" x14ac:dyDescent="0.3">
      <c r="A19" s="167"/>
      <c r="B19" s="167"/>
      <c r="C19" s="167"/>
      <c r="D19" s="167"/>
      <c r="E19" s="167"/>
      <c r="F19" s="167"/>
    </row>
    <row r="20" spans="1:6" x14ac:dyDescent="0.3">
      <c r="A20" s="169" t="s">
        <v>329</v>
      </c>
      <c r="B20" s="169"/>
      <c r="C20" s="169"/>
      <c r="D20" s="169"/>
      <c r="E20" s="169"/>
      <c r="F20" s="169"/>
    </row>
    <row r="21" spans="1:6" x14ac:dyDescent="0.3">
      <c r="A21" s="171" t="s">
        <v>330</v>
      </c>
      <c r="B21" s="171"/>
      <c r="C21" s="171" t="s">
        <v>331</v>
      </c>
      <c r="D21" s="171"/>
      <c r="E21" s="171"/>
      <c r="F21" s="171"/>
    </row>
    <row r="22" spans="1:6" ht="27" customHeight="1" x14ac:dyDescent="0.3">
      <c r="A22" s="139" t="s">
        <v>332</v>
      </c>
      <c r="B22" s="139"/>
      <c r="C22" s="172">
        <v>1</v>
      </c>
      <c r="D22" s="172"/>
      <c r="E22" s="172"/>
      <c r="F22" s="172"/>
    </row>
    <row r="23" spans="1:6" x14ac:dyDescent="0.3">
      <c r="A23" s="167"/>
      <c r="B23" s="167"/>
      <c r="C23" s="167"/>
      <c r="D23" s="167"/>
      <c r="E23" s="167"/>
      <c r="F23" s="167"/>
    </row>
    <row r="24" spans="1:6" x14ac:dyDescent="0.3">
      <c r="A24" s="169" t="s">
        <v>333</v>
      </c>
      <c r="B24" s="169"/>
      <c r="C24" s="169"/>
      <c r="D24" s="169"/>
      <c r="E24" s="169"/>
      <c r="F24" s="169"/>
    </row>
    <row r="25" spans="1:6" x14ac:dyDescent="0.3">
      <c r="A25" s="172" t="s">
        <v>334</v>
      </c>
      <c r="B25" s="172"/>
      <c r="C25" s="172"/>
      <c r="D25" s="172"/>
      <c r="E25" s="172"/>
      <c r="F25" s="172"/>
    </row>
    <row r="26" spans="1:6" ht="21" customHeight="1" x14ac:dyDescent="0.3">
      <c r="A26" s="143" t="s">
        <v>335</v>
      </c>
      <c r="B26" s="143"/>
      <c r="C26" s="171" t="s">
        <v>25</v>
      </c>
      <c r="D26" s="171"/>
      <c r="E26" s="171"/>
      <c r="F26" s="171"/>
    </row>
    <row r="27" spans="1:6" x14ac:dyDescent="0.3">
      <c r="A27" s="172" t="s">
        <v>336</v>
      </c>
      <c r="B27" s="172"/>
      <c r="C27" s="182" t="s">
        <v>337</v>
      </c>
      <c r="D27" s="182"/>
      <c r="E27" s="182"/>
      <c r="F27" s="182"/>
    </row>
    <row r="28" spans="1:6" x14ac:dyDescent="0.3">
      <c r="A28" s="171" t="s">
        <v>338</v>
      </c>
      <c r="B28" s="171"/>
      <c r="C28" s="183">
        <f>'Salários.VA.VT.QteDias.LDI.T'!C3</f>
        <v>2371.3200000000002</v>
      </c>
      <c r="D28" s="183"/>
      <c r="E28" s="183"/>
      <c r="F28" s="183"/>
    </row>
    <row r="29" spans="1:6" ht="24.75" customHeight="1" x14ac:dyDescent="0.3">
      <c r="A29" s="139" t="s">
        <v>339</v>
      </c>
      <c r="B29" s="139"/>
      <c r="C29" s="172" t="s">
        <v>340</v>
      </c>
      <c r="D29" s="172"/>
      <c r="E29" s="172"/>
      <c r="F29" s="172"/>
    </row>
    <row r="30" spans="1:6" x14ac:dyDescent="0.3">
      <c r="A30" s="171" t="s">
        <v>341</v>
      </c>
      <c r="B30" s="171"/>
      <c r="C30" s="184" t="s">
        <v>342</v>
      </c>
      <c r="D30" s="184"/>
      <c r="E30" s="184"/>
      <c r="F30" s="184"/>
    </row>
    <row r="31" spans="1:6" x14ac:dyDescent="0.3">
      <c r="A31" s="181" t="s">
        <v>343</v>
      </c>
      <c r="B31" s="181"/>
      <c r="C31" s="181"/>
      <c r="D31" s="181"/>
      <c r="E31" s="181"/>
      <c r="F31" s="181"/>
    </row>
    <row r="32" spans="1:6" x14ac:dyDescent="0.3">
      <c r="A32" s="169" t="s">
        <v>344</v>
      </c>
      <c r="B32" s="169"/>
      <c r="C32" s="169"/>
      <c r="D32" s="169"/>
      <c r="E32" s="169"/>
      <c r="F32" s="169"/>
    </row>
    <row r="33" spans="1:6" x14ac:dyDescent="0.3">
      <c r="A33" s="66" t="s">
        <v>1</v>
      </c>
      <c r="B33" s="166" t="s">
        <v>345</v>
      </c>
      <c r="C33" s="166"/>
      <c r="D33" s="166"/>
      <c r="E33" s="166"/>
      <c r="F33" s="70" t="s">
        <v>346</v>
      </c>
    </row>
    <row r="34" spans="1:6" x14ac:dyDescent="0.3">
      <c r="A34" s="71" t="s">
        <v>347</v>
      </c>
      <c r="B34" s="173" t="s">
        <v>348</v>
      </c>
      <c r="C34" s="173"/>
      <c r="D34" s="173"/>
      <c r="E34" s="173"/>
      <c r="F34" s="72">
        <f>$C$28</f>
        <v>2371.3200000000002</v>
      </c>
    </row>
    <row r="35" spans="1:6" x14ac:dyDescent="0.3">
      <c r="A35" s="73" t="s">
        <v>349</v>
      </c>
      <c r="B35" s="174" t="s">
        <v>350</v>
      </c>
      <c r="C35" s="174"/>
      <c r="D35" s="174"/>
      <c r="E35" s="174"/>
      <c r="F35" s="128">
        <v>0</v>
      </c>
    </row>
    <row r="36" spans="1:6" x14ac:dyDescent="0.3">
      <c r="A36" s="71" t="s">
        <v>351</v>
      </c>
      <c r="B36" s="180" t="s">
        <v>352</v>
      </c>
      <c r="C36" s="180"/>
      <c r="D36" s="180"/>
      <c r="E36" s="180"/>
      <c r="F36" s="129">
        <v>0</v>
      </c>
    </row>
    <row r="37" spans="1:6" x14ac:dyDescent="0.3">
      <c r="A37" s="73" t="s">
        <v>353</v>
      </c>
      <c r="B37" s="174" t="s">
        <v>354</v>
      </c>
      <c r="C37" s="174"/>
      <c r="D37" s="174"/>
      <c r="E37" s="174"/>
      <c r="F37" s="128">
        <v>0</v>
      </c>
    </row>
    <row r="38" spans="1:6" x14ac:dyDescent="0.3">
      <c r="A38" s="71" t="s">
        <v>355</v>
      </c>
      <c r="B38" s="173" t="s">
        <v>356</v>
      </c>
      <c r="C38" s="173"/>
      <c r="D38" s="173"/>
      <c r="E38" s="173"/>
      <c r="F38" s="129">
        <v>0</v>
      </c>
    </row>
    <row r="39" spans="1:6" x14ac:dyDescent="0.3">
      <c r="A39" s="73" t="s">
        <v>357</v>
      </c>
      <c r="B39" s="174" t="s">
        <v>358</v>
      </c>
      <c r="C39" s="174"/>
      <c r="D39" s="174"/>
      <c r="E39" s="174"/>
      <c r="F39" s="128">
        <v>0</v>
      </c>
    </row>
    <row r="40" spans="1:6" x14ac:dyDescent="0.3">
      <c r="A40" s="71" t="s">
        <v>359</v>
      </c>
      <c r="B40" s="173" t="s">
        <v>360</v>
      </c>
      <c r="C40" s="173"/>
      <c r="D40" s="173"/>
      <c r="E40" s="173"/>
      <c r="F40" s="129">
        <v>0</v>
      </c>
    </row>
    <row r="41" spans="1:6" x14ac:dyDescent="0.3">
      <c r="A41" s="169" t="s">
        <v>361</v>
      </c>
      <c r="B41" s="169"/>
      <c r="C41" s="169"/>
      <c r="D41" s="169"/>
      <c r="E41" s="169"/>
      <c r="F41" s="75">
        <f>TRUNC(SUM(F34:F40),2)</f>
        <v>2371.3200000000002</v>
      </c>
    </row>
    <row r="42" spans="1:6" x14ac:dyDescent="0.3">
      <c r="A42" s="167"/>
      <c r="B42" s="167"/>
      <c r="C42" s="167"/>
      <c r="D42" s="167"/>
      <c r="E42" s="167"/>
      <c r="F42" s="167"/>
    </row>
    <row r="43" spans="1:6" x14ac:dyDescent="0.3">
      <c r="A43" s="169" t="s">
        <v>362</v>
      </c>
      <c r="B43" s="169"/>
      <c r="C43" s="169"/>
      <c r="D43" s="169"/>
      <c r="E43" s="169"/>
      <c r="F43" s="169"/>
    </row>
    <row r="44" spans="1:6" x14ac:dyDescent="0.3">
      <c r="A44" s="162" t="s">
        <v>363</v>
      </c>
      <c r="B44" s="162"/>
      <c r="C44" s="162"/>
      <c r="D44" s="162"/>
      <c r="E44" s="162"/>
      <c r="F44" s="162"/>
    </row>
    <row r="45" spans="1:6" x14ac:dyDescent="0.3">
      <c r="A45" s="66" t="s">
        <v>364</v>
      </c>
      <c r="B45" s="166" t="s">
        <v>365</v>
      </c>
      <c r="C45" s="166"/>
      <c r="D45" s="166"/>
      <c r="E45" s="70" t="s">
        <v>366</v>
      </c>
      <c r="F45" s="70" t="s">
        <v>346</v>
      </c>
    </row>
    <row r="46" spans="1:6" x14ac:dyDescent="0.3">
      <c r="A46" s="71" t="s">
        <v>347</v>
      </c>
      <c r="B46" s="180" t="s">
        <v>367</v>
      </c>
      <c r="C46" s="180"/>
      <c r="D46" s="180"/>
      <c r="E46" s="76">
        <f>TRUNC((100/12),2)</f>
        <v>8.33</v>
      </c>
      <c r="F46" s="72">
        <f>TRUNC((F41*E46%),2)</f>
        <v>197.53</v>
      </c>
    </row>
    <row r="47" spans="1:6" x14ac:dyDescent="0.3">
      <c r="A47" s="73" t="s">
        <v>349</v>
      </c>
      <c r="B47" s="174" t="s">
        <v>368</v>
      </c>
      <c r="C47" s="174"/>
      <c r="D47" s="174"/>
      <c r="E47" s="77">
        <f>E46/3</f>
        <v>2.7766666666666668</v>
      </c>
      <c r="F47" s="74">
        <f>TRUNC((F41*E47%),2)</f>
        <v>65.84</v>
      </c>
    </row>
    <row r="48" spans="1:6" x14ac:dyDescent="0.3">
      <c r="A48" s="169" t="s">
        <v>369</v>
      </c>
      <c r="B48" s="169"/>
      <c r="C48" s="169"/>
      <c r="D48" s="169"/>
      <c r="E48" s="78">
        <f>SUM(E46:E47)</f>
        <v>11.106666666666667</v>
      </c>
      <c r="F48" s="75">
        <f>TRUNC((SUM(F46:F47)),2)</f>
        <v>263.37</v>
      </c>
    </row>
    <row r="49" spans="1:6" x14ac:dyDescent="0.3">
      <c r="A49" s="162" t="s">
        <v>370</v>
      </c>
      <c r="B49" s="162"/>
      <c r="C49" s="162"/>
      <c r="D49" s="162"/>
      <c r="E49" s="162"/>
      <c r="F49" s="162"/>
    </row>
    <row r="50" spans="1:6" x14ac:dyDescent="0.3">
      <c r="A50" s="66" t="s">
        <v>371</v>
      </c>
      <c r="B50" s="163" t="s">
        <v>372</v>
      </c>
      <c r="C50" s="163"/>
      <c r="D50" s="163"/>
      <c r="E50" s="70" t="s">
        <v>366</v>
      </c>
      <c r="F50" s="79" t="s">
        <v>346</v>
      </c>
    </row>
    <row r="51" spans="1:6" x14ac:dyDescent="0.3">
      <c r="A51" s="71" t="s">
        <v>347</v>
      </c>
      <c r="B51" s="173" t="s">
        <v>373</v>
      </c>
      <c r="C51" s="173"/>
      <c r="D51" s="173"/>
      <c r="E51" s="80">
        <v>0.2</v>
      </c>
      <c r="F51" s="72">
        <f t="shared" ref="F51:F58" si="0">TRUNC((($F$41+$F$48)*E51),2)</f>
        <v>526.92999999999995</v>
      </c>
    </row>
    <row r="52" spans="1:6" x14ac:dyDescent="0.3">
      <c r="A52" s="73" t="s">
        <v>349</v>
      </c>
      <c r="B52" s="174" t="s">
        <v>374</v>
      </c>
      <c r="C52" s="174"/>
      <c r="D52" s="174"/>
      <c r="E52" s="81">
        <v>2.5000000000000001E-2</v>
      </c>
      <c r="F52" s="74">
        <f t="shared" si="0"/>
        <v>65.86</v>
      </c>
    </row>
    <row r="53" spans="1:6" x14ac:dyDescent="0.3">
      <c r="A53" s="71" t="s">
        <v>351</v>
      </c>
      <c r="B53" s="173" t="s">
        <v>375</v>
      </c>
      <c r="C53" s="173"/>
      <c r="D53" s="173"/>
      <c r="E53" s="130">
        <v>0.03</v>
      </c>
      <c r="F53" s="72">
        <f t="shared" si="0"/>
        <v>79.040000000000006</v>
      </c>
    </row>
    <row r="54" spans="1:6" x14ac:dyDescent="0.3">
      <c r="A54" s="73" t="s">
        <v>353</v>
      </c>
      <c r="B54" s="174" t="s">
        <v>376</v>
      </c>
      <c r="C54" s="174"/>
      <c r="D54" s="174"/>
      <c r="E54" s="81">
        <v>1.4999999999999999E-2</v>
      </c>
      <c r="F54" s="74">
        <f t="shared" si="0"/>
        <v>39.520000000000003</v>
      </c>
    </row>
    <row r="55" spans="1:6" x14ac:dyDescent="0.3">
      <c r="A55" s="71" t="s">
        <v>355</v>
      </c>
      <c r="B55" s="173" t="s">
        <v>377</v>
      </c>
      <c r="C55" s="173"/>
      <c r="D55" s="173"/>
      <c r="E55" s="80">
        <v>0.01</v>
      </c>
      <c r="F55" s="72">
        <f t="shared" si="0"/>
        <v>26.34</v>
      </c>
    </row>
    <row r="56" spans="1:6" x14ac:dyDescent="0.3">
      <c r="A56" s="73" t="s">
        <v>357</v>
      </c>
      <c r="B56" s="174" t="s">
        <v>378</v>
      </c>
      <c r="C56" s="174"/>
      <c r="D56" s="174"/>
      <c r="E56" s="81">
        <v>6.0000000000000001E-3</v>
      </c>
      <c r="F56" s="74">
        <f t="shared" si="0"/>
        <v>15.8</v>
      </c>
    </row>
    <row r="57" spans="1:6" x14ac:dyDescent="0.3">
      <c r="A57" s="71" t="s">
        <v>359</v>
      </c>
      <c r="B57" s="173" t="s">
        <v>379</v>
      </c>
      <c r="C57" s="173"/>
      <c r="D57" s="173"/>
      <c r="E57" s="80">
        <v>2E-3</v>
      </c>
      <c r="F57" s="72">
        <f t="shared" si="0"/>
        <v>5.26</v>
      </c>
    </row>
    <row r="58" spans="1:6" x14ac:dyDescent="0.3">
      <c r="A58" s="73" t="s">
        <v>380</v>
      </c>
      <c r="B58" s="174" t="s">
        <v>381</v>
      </c>
      <c r="C58" s="174"/>
      <c r="D58" s="174"/>
      <c r="E58" s="81">
        <v>0.08</v>
      </c>
      <c r="F58" s="74">
        <f t="shared" si="0"/>
        <v>210.77</v>
      </c>
    </row>
    <row r="59" spans="1:6" x14ac:dyDescent="0.3">
      <c r="A59" s="169" t="s">
        <v>382</v>
      </c>
      <c r="B59" s="169"/>
      <c r="C59" s="169"/>
      <c r="D59" s="169"/>
      <c r="E59" s="82">
        <f>SUM(E51:E58)</f>
        <v>0.36800000000000005</v>
      </c>
      <c r="F59" s="75">
        <f>TRUNC((SUM(F51:F58)),2)</f>
        <v>969.52</v>
      </c>
    </row>
    <row r="60" spans="1:6" x14ac:dyDescent="0.3">
      <c r="A60" s="162" t="s">
        <v>383</v>
      </c>
      <c r="B60" s="162"/>
      <c r="C60" s="162"/>
      <c r="D60" s="162"/>
      <c r="E60" s="162"/>
      <c r="F60" s="162"/>
    </row>
    <row r="61" spans="1:6" x14ac:dyDescent="0.3">
      <c r="A61" s="2" t="s">
        <v>384</v>
      </c>
      <c r="B61" s="162" t="s">
        <v>385</v>
      </c>
      <c r="C61" s="162"/>
      <c r="D61" s="162"/>
      <c r="E61" s="162"/>
      <c r="F61" s="162"/>
    </row>
    <row r="62" spans="1:6" x14ac:dyDescent="0.3">
      <c r="A62" s="171" t="s">
        <v>347</v>
      </c>
      <c r="B62" s="66" t="s">
        <v>386</v>
      </c>
      <c r="C62" s="66" t="s">
        <v>387</v>
      </c>
      <c r="D62" s="66" t="s">
        <v>388</v>
      </c>
      <c r="E62" s="66" t="s">
        <v>389</v>
      </c>
      <c r="F62" s="73" t="s">
        <v>346</v>
      </c>
    </row>
    <row r="63" spans="1:6" x14ac:dyDescent="0.3">
      <c r="A63" s="171"/>
      <c r="B63" s="69">
        <f>'Salários.VA.VT.QteDias.LDI.T'!D19</f>
        <v>4</v>
      </c>
      <c r="C63" s="66">
        <v>2</v>
      </c>
      <c r="D63" s="66">
        <f>'Salários.VA.VT.QteDias.LDI.T'!C36</f>
        <v>21</v>
      </c>
      <c r="E63" s="69">
        <f>TRUNC(($F$34*6%),2)</f>
        <v>142.27000000000001</v>
      </c>
      <c r="F63" s="74">
        <f>TRUNC(IF(E63&gt;=168,0,((B63*C63*D63)-E63)),2)</f>
        <v>25.73</v>
      </c>
    </row>
    <row r="64" spans="1:6" x14ac:dyDescent="0.3">
      <c r="A64" s="165" t="s">
        <v>349</v>
      </c>
      <c r="B64" s="165" t="s">
        <v>390</v>
      </c>
      <c r="C64" s="165"/>
      <c r="D64" s="83" t="s">
        <v>388</v>
      </c>
      <c r="E64" s="83" t="s">
        <v>389</v>
      </c>
      <c r="F64" s="71" t="s">
        <v>346</v>
      </c>
    </row>
    <row r="65" spans="1:8" x14ac:dyDescent="0.3">
      <c r="A65" s="165"/>
      <c r="B65" s="179">
        <f>'Salários.VA.VT.QteDias.LDI.T'!C19</f>
        <v>26.7</v>
      </c>
      <c r="C65" s="179"/>
      <c r="D65" s="83">
        <f>'Salários.VA.VT.QteDias.LDI.T'!C36</f>
        <v>21</v>
      </c>
      <c r="E65" s="84">
        <f>TRUNC(0.1*(B65*D65),2)</f>
        <v>56.07</v>
      </c>
      <c r="F65" s="72">
        <f>TRUNC(((B65*D65)-E65),2)</f>
        <v>504.63</v>
      </c>
    </row>
    <row r="66" spans="1:8" x14ac:dyDescent="0.3">
      <c r="A66" s="171" t="s">
        <v>351</v>
      </c>
      <c r="B66" s="174" t="s">
        <v>391</v>
      </c>
      <c r="C66" s="174"/>
      <c r="D66" s="174"/>
      <c r="E66" s="174"/>
      <c r="F66" s="73" t="s">
        <v>346</v>
      </c>
    </row>
    <row r="67" spans="1:8" x14ac:dyDescent="0.3">
      <c r="A67" s="171"/>
      <c r="B67" s="174"/>
      <c r="C67" s="174"/>
      <c r="D67" s="174"/>
      <c r="E67" s="174"/>
      <c r="F67" s="128">
        <v>6</v>
      </c>
    </row>
    <row r="68" spans="1:8" x14ac:dyDescent="0.3">
      <c r="A68" s="165" t="s">
        <v>353</v>
      </c>
      <c r="B68" s="173" t="s">
        <v>392</v>
      </c>
      <c r="C68" s="173"/>
      <c r="D68" s="173"/>
      <c r="E68" s="173"/>
      <c r="F68" s="71" t="s">
        <v>346</v>
      </c>
    </row>
    <row r="69" spans="1:8" x14ac:dyDescent="0.3">
      <c r="A69" s="165"/>
      <c r="B69" s="173"/>
      <c r="C69" s="173"/>
      <c r="D69" s="173"/>
      <c r="E69" s="173"/>
      <c r="F69" s="129">
        <v>19.899999999999999</v>
      </c>
    </row>
    <row r="70" spans="1:8" x14ac:dyDescent="0.3">
      <c r="A70" s="171" t="s">
        <v>355</v>
      </c>
      <c r="B70" s="174" t="s">
        <v>360</v>
      </c>
      <c r="C70" s="174"/>
      <c r="D70" s="174"/>
      <c r="E70" s="174"/>
      <c r="F70" s="73" t="s">
        <v>346</v>
      </c>
    </row>
    <row r="71" spans="1:8" x14ac:dyDescent="0.3">
      <c r="A71" s="171"/>
      <c r="B71" s="174"/>
      <c r="C71" s="174"/>
      <c r="D71" s="174"/>
      <c r="E71" s="174"/>
      <c r="F71" s="128">
        <v>0</v>
      </c>
    </row>
    <row r="72" spans="1:8" x14ac:dyDescent="0.3">
      <c r="A72" s="169" t="s">
        <v>393</v>
      </c>
      <c r="B72" s="169"/>
      <c r="C72" s="169"/>
      <c r="D72" s="169"/>
      <c r="E72" s="169"/>
      <c r="F72" s="75">
        <f>TRUNC(SUM(F63,F65,F67,F69,F71),2)</f>
        <v>556.26</v>
      </c>
    </row>
    <row r="73" spans="1:8" x14ac:dyDescent="0.3">
      <c r="A73" s="162" t="s">
        <v>394</v>
      </c>
      <c r="B73" s="162"/>
      <c r="C73" s="162"/>
      <c r="D73" s="162"/>
      <c r="E73" s="162"/>
      <c r="F73" s="162"/>
    </row>
    <row r="74" spans="1:8" x14ac:dyDescent="0.3">
      <c r="A74" s="66" t="s">
        <v>395</v>
      </c>
      <c r="B74" s="178" t="s">
        <v>396</v>
      </c>
      <c r="C74" s="178"/>
      <c r="D74" s="178"/>
      <c r="E74" s="178"/>
      <c r="F74" s="66" t="s">
        <v>346</v>
      </c>
      <c r="H74" s="85"/>
    </row>
    <row r="75" spans="1:8" x14ac:dyDescent="0.3">
      <c r="A75" s="83" t="s">
        <v>364</v>
      </c>
      <c r="B75" s="176" t="s">
        <v>397</v>
      </c>
      <c r="C75" s="176"/>
      <c r="D75" s="176"/>
      <c r="E75" s="176"/>
      <c r="F75" s="84">
        <f>$F$48</f>
        <v>263.37</v>
      </c>
    </row>
    <row r="76" spans="1:8" x14ac:dyDescent="0.3">
      <c r="A76" s="66" t="s">
        <v>371</v>
      </c>
      <c r="B76" s="178" t="s">
        <v>398</v>
      </c>
      <c r="C76" s="178"/>
      <c r="D76" s="178"/>
      <c r="E76" s="178"/>
      <c r="F76" s="69">
        <f>$F$59</f>
        <v>969.52</v>
      </c>
    </row>
    <row r="77" spans="1:8" x14ac:dyDescent="0.3">
      <c r="A77" s="83" t="s">
        <v>384</v>
      </c>
      <c r="B77" s="176" t="s">
        <v>385</v>
      </c>
      <c r="C77" s="176"/>
      <c r="D77" s="176"/>
      <c r="E77" s="176"/>
      <c r="F77" s="84">
        <f>$F$72</f>
        <v>556.26</v>
      </c>
    </row>
    <row r="78" spans="1:8" x14ac:dyDescent="0.3">
      <c r="A78" s="169" t="s">
        <v>399</v>
      </c>
      <c r="B78" s="169"/>
      <c r="C78" s="169"/>
      <c r="D78" s="169"/>
      <c r="E78" s="169"/>
      <c r="F78" s="75">
        <f>TRUNC(SUM(F75:F77),2)</f>
        <v>1789.15</v>
      </c>
    </row>
    <row r="79" spans="1:8" x14ac:dyDescent="0.3">
      <c r="A79" s="167"/>
      <c r="B79" s="167"/>
      <c r="C79" s="167"/>
      <c r="D79" s="167"/>
      <c r="E79" s="167"/>
      <c r="F79" s="167"/>
    </row>
    <row r="80" spans="1:8" x14ac:dyDescent="0.3">
      <c r="A80" s="169" t="s">
        <v>400</v>
      </c>
      <c r="B80" s="169"/>
      <c r="C80" s="169"/>
      <c r="D80" s="169"/>
      <c r="E80" s="169"/>
      <c r="F80" s="169"/>
    </row>
    <row r="81" spans="1:6" x14ac:dyDescent="0.3">
      <c r="A81" s="66">
        <v>3</v>
      </c>
      <c r="B81" s="163" t="s">
        <v>401</v>
      </c>
      <c r="C81" s="163"/>
      <c r="D81" s="163"/>
      <c r="E81" s="70" t="s">
        <v>366</v>
      </c>
      <c r="F81" s="70" t="s">
        <v>346</v>
      </c>
    </row>
    <row r="82" spans="1:6" x14ac:dyDescent="0.3">
      <c r="A82" s="71" t="s">
        <v>347</v>
      </c>
      <c r="B82" s="173" t="s">
        <v>402</v>
      </c>
      <c r="C82" s="173"/>
      <c r="D82" s="173"/>
      <c r="E82" s="130">
        <f>(56.24%)*5.55%*(1/12)</f>
        <v>2.6010999999999999E-3</v>
      </c>
      <c r="F82" s="72">
        <f t="shared" ref="F82:F87" si="1">TRUNC((($F$41+$F$48)*E82),2)</f>
        <v>6.85</v>
      </c>
    </row>
    <row r="83" spans="1:6" x14ac:dyDescent="0.3">
      <c r="A83" s="73" t="s">
        <v>349</v>
      </c>
      <c r="B83" s="174" t="s">
        <v>403</v>
      </c>
      <c r="C83" s="174"/>
      <c r="D83" s="174"/>
      <c r="E83" s="131">
        <f>(8%*0.29%)</f>
        <v>2.32E-4</v>
      </c>
      <c r="F83" s="86">
        <f t="shared" si="1"/>
        <v>0.61</v>
      </c>
    </row>
    <row r="84" spans="1:6" x14ac:dyDescent="0.3">
      <c r="A84" s="71" t="s">
        <v>351</v>
      </c>
      <c r="B84" s="173" t="s">
        <v>404</v>
      </c>
      <c r="C84" s="173"/>
      <c r="D84" s="173"/>
      <c r="E84" s="130">
        <f>(56.24%)*5.55%*40%*8%</f>
        <v>9.9882240000000004E-4</v>
      </c>
      <c r="F84" s="72">
        <f t="shared" si="1"/>
        <v>2.63</v>
      </c>
    </row>
    <row r="85" spans="1:6" x14ac:dyDescent="0.3">
      <c r="A85" s="73" t="s">
        <v>353</v>
      </c>
      <c r="B85" s="177" t="s">
        <v>405</v>
      </c>
      <c r="C85" s="177"/>
      <c r="D85" s="177"/>
      <c r="E85" s="131">
        <f>((56.24%)*94.45%*(7/30)/12)</f>
        <v>1.0328632222222222E-2</v>
      </c>
      <c r="F85" s="86">
        <f t="shared" si="1"/>
        <v>27.21</v>
      </c>
    </row>
    <row r="86" spans="1:6" x14ac:dyDescent="0.3">
      <c r="A86" s="72" t="s">
        <v>355</v>
      </c>
      <c r="B86" s="175" t="s">
        <v>406</v>
      </c>
      <c r="C86" s="175"/>
      <c r="D86" s="175"/>
      <c r="E86" s="130">
        <f>1.03%*36.8%</f>
        <v>3.7904000000000002E-3</v>
      </c>
      <c r="F86" s="72">
        <f t="shared" si="1"/>
        <v>9.98</v>
      </c>
    </row>
    <row r="87" spans="1:6" x14ac:dyDescent="0.3">
      <c r="A87" s="73" t="s">
        <v>355</v>
      </c>
      <c r="B87" s="174" t="s">
        <v>407</v>
      </c>
      <c r="C87" s="174"/>
      <c r="D87" s="174"/>
      <c r="E87" s="131">
        <f>(56.24%)*94.45%*40%*8%</f>
        <v>1.6997977600000002E-2</v>
      </c>
      <c r="F87" s="86">
        <f t="shared" si="1"/>
        <v>44.78</v>
      </c>
    </row>
    <row r="88" spans="1:6" x14ac:dyDescent="0.3">
      <c r="A88" s="169" t="s">
        <v>408</v>
      </c>
      <c r="B88" s="169"/>
      <c r="C88" s="169"/>
      <c r="D88" s="169"/>
      <c r="E88" s="82">
        <f>SUM(E82:E87)</f>
        <v>3.4948932222222229E-2</v>
      </c>
      <c r="F88" s="75">
        <f>TRUNC(SUM(F82:F87),2)</f>
        <v>92.06</v>
      </c>
    </row>
    <row r="89" spans="1:6" x14ac:dyDescent="0.3">
      <c r="A89" s="167"/>
      <c r="B89" s="167"/>
      <c r="C89" s="167"/>
      <c r="D89" s="167"/>
      <c r="E89" s="167"/>
      <c r="F89" s="167"/>
    </row>
    <row r="90" spans="1:6" x14ac:dyDescent="0.3">
      <c r="A90" s="169" t="s">
        <v>409</v>
      </c>
      <c r="B90" s="169"/>
      <c r="C90" s="169"/>
      <c r="D90" s="169"/>
      <c r="E90" s="169"/>
      <c r="F90" s="169"/>
    </row>
    <row r="91" spans="1:6" x14ac:dyDescent="0.3">
      <c r="A91" s="162" t="s">
        <v>410</v>
      </c>
      <c r="B91" s="162"/>
      <c r="C91" s="162"/>
      <c r="D91" s="162"/>
      <c r="E91" s="162"/>
      <c r="F91" s="162"/>
    </row>
    <row r="92" spans="1:6" x14ac:dyDescent="0.3">
      <c r="A92" s="66" t="s">
        <v>411</v>
      </c>
      <c r="B92" s="163" t="s">
        <v>412</v>
      </c>
      <c r="C92" s="163"/>
      <c r="D92" s="163"/>
      <c r="E92" s="70" t="s">
        <v>366</v>
      </c>
      <c r="F92" s="70" t="s">
        <v>346</v>
      </c>
    </row>
    <row r="93" spans="1:6" x14ac:dyDescent="0.3">
      <c r="A93" s="71" t="s">
        <v>347</v>
      </c>
      <c r="B93" s="173" t="s">
        <v>413</v>
      </c>
      <c r="C93" s="173"/>
      <c r="D93" s="173"/>
      <c r="E93" s="80"/>
      <c r="F93" s="72">
        <f>TRUNC((($F$41+$F$78+$E$88)*E98),2)</f>
        <v>0</v>
      </c>
    </row>
    <row r="94" spans="1:6" x14ac:dyDescent="0.3">
      <c r="A94" s="73" t="s">
        <v>349</v>
      </c>
      <c r="B94" s="174" t="s">
        <v>414</v>
      </c>
      <c r="C94" s="174"/>
      <c r="D94" s="174"/>
      <c r="E94" s="131">
        <f>(8/30)/12</f>
        <v>2.2222222222222223E-2</v>
      </c>
      <c r="F94" s="74">
        <f>TRUNC((($F$41+$F$78+$F$88)*E94),2)</f>
        <v>94.5</v>
      </c>
    </row>
    <row r="95" spans="1:6" x14ac:dyDescent="0.3">
      <c r="A95" s="71" t="s">
        <v>351</v>
      </c>
      <c r="B95" s="173" t="s">
        <v>415</v>
      </c>
      <c r="C95" s="173"/>
      <c r="D95" s="173"/>
      <c r="E95" s="130">
        <f>(((20/30)/12)*1.416%*45.22%)</f>
        <v>3.557306666666666E-4</v>
      </c>
      <c r="F95" s="72">
        <f>TRUNC((($F$41+$F$78+$F$88)*E95),2)</f>
        <v>1.51</v>
      </c>
    </row>
    <row r="96" spans="1:6" x14ac:dyDescent="0.3">
      <c r="A96" s="73" t="s">
        <v>353</v>
      </c>
      <c r="B96" s="174" t="s">
        <v>416</v>
      </c>
      <c r="C96" s="174"/>
      <c r="D96" s="174"/>
      <c r="E96" s="131">
        <f>((15/30)/12)*0.44%</f>
        <v>1.8333333333333334E-4</v>
      </c>
      <c r="F96" s="74">
        <f>TRUNC((($F$41+$F$78+$F$88)*E96),2)</f>
        <v>0.77</v>
      </c>
    </row>
    <row r="97" spans="1:6" x14ac:dyDescent="0.3">
      <c r="A97" s="71" t="s">
        <v>355</v>
      </c>
      <c r="B97" s="173" t="s">
        <v>417</v>
      </c>
      <c r="C97" s="173"/>
      <c r="D97" s="173"/>
      <c r="E97" s="130">
        <f>(((180/30)/12*1.416%*54.78%*36.8%))</f>
        <v>1.4272600319999999E-3</v>
      </c>
      <c r="F97" s="72">
        <f>TRUNC((($F$41+F78+F88)*E97),2)</f>
        <v>6.06</v>
      </c>
    </row>
    <row r="98" spans="1:6" x14ac:dyDescent="0.3">
      <c r="A98" s="73" t="s">
        <v>357</v>
      </c>
      <c r="B98" s="174" t="s">
        <v>418</v>
      </c>
      <c r="C98" s="174"/>
      <c r="D98" s="174"/>
      <c r="E98" s="131">
        <v>0</v>
      </c>
      <c r="F98" s="74">
        <f>TRUNC((($F$41+$F$78+$E$88)*E98),2)</f>
        <v>0</v>
      </c>
    </row>
    <row r="99" spans="1:6" x14ac:dyDescent="0.3">
      <c r="A99" s="169" t="s">
        <v>419</v>
      </c>
      <c r="B99" s="169"/>
      <c r="C99" s="169"/>
      <c r="D99" s="169"/>
      <c r="E99" s="82">
        <f>SUM(E93:E98)</f>
        <v>2.4188546254222225E-2</v>
      </c>
      <c r="F99" s="75">
        <f>TRUNC(SUM(F93:F98),2)</f>
        <v>102.84</v>
      </c>
    </row>
    <row r="100" spans="1:6" x14ac:dyDescent="0.3">
      <c r="A100" s="162" t="s">
        <v>420</v>
      </c>
      <c r="B100" s="162"/>
      <c r="C100" s="162"/>
      <c r="D100" s="162"/>
      <c r="E100" s="162"/>
      <c r="F100" s="162"/>
    </row>
    <row r="101" spans="1:6" x14ac:dyDescent="0.3">
      <c r="A101" s="66" t="s">
        <v>421</v>
      </c>
      <c r="B101" s="163" t="s">
        <v>422</v>
      </c>
      <c r="C101" s="163"/>
      <c r="D101" s="163"/>
      <c r="E101" s="70" t="s">
        <v>366</v>
      </c>
      <c r="F101" s="70" t="s">
        <v>346</v>
      </c>
    </row>
    <row r="102" spans="1:6" x14ac:dyDescent="0.3">
      <c r="A102" s="71" t="s">
        <v>347</v>
      </c>
      <c r="B102" s="173" t="s">
        <v>423</v>
      </c>
      <c r="C102" s="173"/>
      <c r="D102" s="173"/>
      <c r="E102" s="87" t="s">
        <v>424</v>
      </c>
      <c r="F102" s="72">
        <v>0</v>
      </c>
    </row>
    <row r="103" spans="1:6" x14ac:dyDescent="0.3">
      <c r="A103" s="162" t="s">
        <v>425</v>
      </c>
      <c r="B103" s="162"/>
      <c r="C103" s="162"/>
      <c r="D103" s="162"/>
      <c r="E103" s="162"/>
      <c r="F103" s="162"/>
    </row>
    <row r="104" spans="1:6" x14ac:dyDescent="0.3">
      <c r="A104" s="66" t="s">
        <v>426</v>
      </c>
      <c r="B104" s="163" t="s">
        <v>427</v>
      </c>
      <c r="C104" s="163"/>
      <c r="D104" s="163"/>
      <c r="E104" s="163"/>
      <c r="F104" s="70" t="s">
        <v>346</v>
      </c>
    </row>
    <row r="105" spans="1:6" x14ac:dyDescent="0.3">
      <c r="A105" s="83" t="s">
        <v>411</v>
      </c>
      <c r="B105" s="164" t="s">
        <v>412</v>
      </c>
      <c r="C105" s="164"/>
      <c r="D105" s="164"/>
      <c r="E105" s="164"/>
      <c r="F105" s="84">
        <f>$F$99</f>
        <v>102.84</v>
      </c>
    </row>
    <row r="106" spans="1:6" x14ac:dyDescent="0.3">
      <c r="A106" s="66" t="s">
        <v>421</v>
      </c>
      <c r="B106" s="163" t="s">
        <v>422</v>
      </c>
      <c r="C106" s="163"/>
      <c r="D106" s="163"/>
      <c r="E106" s="163"/>
      <c r="F106" s="69">
        <v>0</v>
      </c>
    </row>
    <row r="107" spans="1:6" x14ac:dyDescent="0.3">
      <c r="A107" s="169" t="s">
        <v>428</v>
      </c>
      <c r="B107" s="169"/>
      <c r="C107" s="169"/>
      <c r="D107" s="169"/>
      <c r="E107" s="169"/>
      <c r="F107" s="75">
        <f>TRUNC(SUM(F105+F106),2)</f>
        <v>102.84</v>
      </c>
    </row>
    <row r="108" spans="1:6" x14ac:dyDescent="0.3">
      <c r="A108" s="167"/>
      <c r="B108" s="167"/>
      <c r="C108" s="167"/>
      <c r="D108" s="167"/>
      <c r="E108" s="167"/>
      <c r="F108" s="167"/>
    </row>
    <row r="109" spans="1:6" x14ac:dyDescent="0.3">
      <c r="A109" s="169" t="s">
        <v>429</v>
      </c>
      <c r="B109" s="169"/>
      <c r="C109" s="169"/>
      <c r="D109" s="169"/>
      <c r="E109" s="169"/>
      <c r="F109" s="169"/>
    </row>
    <row r="110" spans="1:6" x14ac:dyDescent="0.3">
      <c r="A110" s="66">
        <v>5</v>
      </c>
      <c r="B110" s="163" t="s">
        <v>430</v>
      </c>
      <c r="C110" s="163"/>
      <c r="D110" s="163"/>
      <c r="E110" s="163"/>
      <c r="F110" s="70" t="s">
        <v>346</v>
      </c>
    </row>
    <row r="111" spans="1:6" x14ac:dyDescent="0.3">
      <c r="A111" s="83" t="s">
        <v>347</v>
      </c>
      <c r="B111" s="164" t="s">
        <v>21</v>
      </c>
      <c r="C111" s="164"/>
      <c r="D111" s="164"/>
      <c r="E111" s="164"/>
      <c r="F111" s="84">
        <f>Unif!I23</f>
        <v>173.01</v>
      </c>
    </row>
    <row r="112" spans="1:6" x14ac:dyDescent="0.3">
      <c r="A112" s="66" t="s">
        <v>349</v>
      </c>
      <c r="B112" s="163" t="s">
        <v>431</v>
      </c>
      <c r="C112" s="163"/>
      <c r="D112" s="163"/>
      <c r="E112" s="163"/>
      <c r="F112" s="74">
        <v>0</v>
      </c>
    </row>
    <row r="113" spans="1:6" x14ac:dyDescent="0.3">
      <c r="A113" s="83" t="s">
        <v>351</v>
      </c>
      <c r="B113" s="164" t="s">
        <v>432</v>
      </c>
      <c r="C113" s="164"/>
      <c r="D113" s="164"/>
      <c r="E113" s="164"/>
      <c r="F113" s="72">
        <v>0</v>
      </c>
    </row>
    <row r="114" spans="1:6" x14ac:dyDescent="0.3">
      <c r="A114" s="66" t="s">
        <v>353</v>
      </c>
      <c r="B114" s="163" t="s">
        <v>433</v>
      </c>
      <c r="C114" s="163"/>
      <c r="D114" s="163"/>
      <c r="E114" s="163"/>
      <c r="F114" s="74">
        <v>0</v>
      </c>
    </row>
    <row r="115" spans="1:6" x14ac:dyDescent="0.3">
      <c r="A115" s="169" t="s">
        <v>434</v>
      </c>
      <c r="B115" s="169"/>
      <c r="C115" s="169"/>
      <c r="D115" s="169"/>
      <c r="E115" s="169"/>
      <c r="F115" s="75">
        <f>TRUNC(SUM(F111:F114),2)</f>
        <v>173.01</v>
      </c>
    </row>
    <row r="116" spans="1:6" x14ac:dyDescent="0.3">
      <c r="A116" s="167"/>
      <c r="B116" s="167"/>
      <c r="C116" s="167"/>
      <c r="D116" s="167"/>
      <c r="E116" s="167"/>
      <c r="F116" s="167"/>
    </row>
    <row r="117" spans="1:6" x14ac:dyDescent="0.3">
      <c r="A117" s="169" t="s">
        <v>435</v>
      </c>
      <c r="B117" s="169"/>
      <c r="C117" s="169"/>
      <c r="D117" s="169"/>
      <c r="E117" s="169"/>
      <c r="F117" s="169"/>
    </row>
    <row r="118" spans="1:6" x14ac:dyDescent="0.3">
      <c r="A118" s="171" t="s">
        <v>436</v>
      </c>
      <c r="B118" s="171"/>
      <c r="C118" s="171"/>
      <c r="D118" s="171"/>
      <c r="E118" s="70" t="s">
        <v>366</v>
      </c>
      <c r="F118" s="79" t="s">
        <v>346</v>
      </c>
    </row>
    <row r="119" spans="1:6" x14ac:dyDescent="0.3">
      <c r="A119" s="83" t="s">
        <v>347</v>
      </c>
      <c r="B119" s="164" t="s">
        <v>437</v>
      </c>
      <c r="C119" s="164"/>
      <c r="D119" s="164"/>
      <c r="E119" s="88">
        <f>'Salários.VA.VT.QteDias.LDI.T'!$D$46</f>
        <v>4.7300000000000002E-2</v>
      </c>
      <c r="F119" s="89">
        <f>TRUNC(($F$134*$E$119),2)</f>
        <v>214.19</v>
      </c>
    </row>
    <row r="120" spans="1:6" x14ac:dyDescent="0.3">
      <c r="A120" s="66" t="s">
        <v>349</v>
      </c>
      <c r="B120" s="163" t="s">
        <v>438</v>
      </c>
      <c r="C120" s="163"/>
      <c r="D120" s="163"/>
      <c r="E120" s="90">
        <f>'Salários.VA.VT.QteDias.LDI.T'!$D$47</f>
        <v>5.57E-2</v>
      </c>
      <c r="F120" s="74">
        <f>TRUNC((($F$134+$F$119)*E120),2)</f>
        <v>264.16000000000003</v>
      </c>
    </row>
    <row r="121" spans="1:6" x14ac:dyDescent="0.3">
      <c r="A121" s="172" t="s">
        <v>439</v>
      </c>
      <c r="B121" s="172"/>
      <c r="C121" s="172"/>
      <c r="D121" s="172"/>
      <c r="E121" s="4" t="s">
        <v>366</v>
      </c>
      <c r="F121" s="91" t="s">
        <v>346</v>
      </c>
    </row>
    <row r="122" spans="1:6" x14ac:dyDescent="0.3">
      <c r="A122" s="66" t="s">
        <v>347</v>
      </c>
      <c r="B122" s="163" t="s">
        <v>55</v>
      </c>
      <c r="C122" s="163"/>
      <c r="D122" s="163"/>
      <c r="E122" s="132">
        <v>6.4999999999999997E-3</v>
      </c>
      <c r="F122" s="74">
        <f>TRUNC(((($F$134+$F$119+$F$120)/0.9135)*E122),2)</f>
        <v>35.619999999999997</v>
      </c>
    </row>
    <row r="123" spans="1:6" x14ac:dyDescent="0.3">
      <c r="A123" s="60" t="s">
        <v>349</v>
      </c>
      <c r="B123" s="168" t="s">
        <v>440</v>
      </c>
      <c r="C123" s="168"/>
      <c r="D123" s="168"/>
      <c r="E123" s="133">
        <v>0.03</v>
      </c>
      <c r="F123" s="89">
        <f>TRUNC(((($F$134+$F$119+$F$120)/0.9135)*E123),2)</f>
        <v>164.42</v>
      </c>
    </row>
    <row r="124" spans="1:6" x14ac:dyDescent="0.3">
      <c r="A124" s="66" t="s">
        <v>351</v>
      </c>
      <c r="B124" s="163" t="s">
        <v>57</v>
      </c>
      <c r="C124" s="163"/>
      <c r="D124" s="163"/>
      <c r="E124" s="132">
        <v>0.05</v>
      </c>
      <c r="F124" s="74">
        <f>TRUNC(((($F$134+$F$119+$F$120)/0.9135)*E124),2)</f>
        <v>274.04000000000002</v>
      </c>
    </row>
    <row r="125" spans="1:6" x14ac:dyDescent="0.3">
      <c r="A125" s="169" t="s">
        <v>441</v>
      </c>
      <c r="B125" s="169"/>
      <c r="C125" s="169"/>
      <c r="D125" s="169"/>
      <c r="E125" s="82">
        <f>SUM(E122:E124)</f>
        <v>8.6499999999999994E-2</v>
      </c>
      <c r="F125" s="75">
        <f>TRUNC(SUM($F$119,$F$120,$F$122,$F$123,$F$124),2)</f>
        <v>952.43</v>
      </c>
    </row>
    <row r="126" spans="1:6" x14ac:dyDescent="0.3">
      <c r="A126" s="167"/>
      <c r="B126" s="167"/>
      <c r="C126" s="167"/>
      <c r="D126" s="167"/>
      <c r="E126" s="167"/>
      <c r="F126" s="167"/>
    </row>
    <row r="127" spans="1:6" x14ac:dyDescent="0.3">
      <c r="A127" s="170" t="s">
        <v>442</v>
      </c>
      <c r="B127" s="170"/>
      <c r="C127" s="170"/>
      <c r="D127" s="170"/>
      <c r="E127" s="170"/>
      <c r="F127" s="170"/>
    </row>
    <row r="128" spans="1:6" x14ac:dyDescent="0.3">
      <c r="A128" s="162" t="s">
        <v>443</v>
      </c>
      <c r="B128" s="162"/>
      <c r="C128" s="162"/>
      <c r="D128" s="162"/>
      <c r="E128" s="162"/>
      <c r="F128" s="3" t="s">
        <v>346</v>
      </c>
    </row>
    <row r="129" spans="1:8" x14ac:dyDescent="0.3">
      <c r="A129" s="66" t="s">
        <v>347</v>
      </c>
      <c r="B129" s="163" t="s">
        <v>444</v>
      </c>
      <c r="C129" s="163"/>
      <c r="D129" s="163"/>
      <c r="E129" s="163"/>
      <c r="F129" s="69">
        <f>$F$41</f>
        <v>2371.3200000000002</v>
      </c>
    </row>
    <row r="130" spans="1:8" x14ac:dyDescent="0.3">
      <c r="A130" s="83" t="s">
        <v>349</v>
      </c>
      <c r="B130" s="164" t="s">
        <v>445</v>
      </c>
      <c r="C130" s="164"/>
      <c r="D130" s="164"/>
      <c r="E130" s="164"/>
      <c r="F130" s="84">
        <f>$F$78</f>
        <v>1789.15</v>
      </c>
    </row>
    <row r="131" spans="1:8" x14ac:dyDescent="0.3">
      <c r="A131" s="66" t="s">
        <v>351</v>
      </c>
      <c r="B131" s="163" t="s">
        <v>446</v>
      </c>
      <c r="C131" s="163"/>
      <c r="D131" s="163"/>
      <c r="E131" s="163"/>
      <c r="F131" s="69">
        <f>$F$88</f>
        <v>92.06</v>
      </c>
    </row>
    <row r="132" spans="1:8" x14ac:dyDescent="0.3">
      <c r="A132" s="83" t="s">
        <v>353</v>
      </c>
      <c r="B132" s="164" t="s">
        <v>447</v>
      </c>
      <c r="C132" s="164"/>
      <c r="D132" s="164"/>
      <c r="E132" s="164"/>
      <c r="F132" s="84">
        <f>$F$107</f>
        <v>102.84</v>
      </c>
    </row>
    <row r="133" spans="1:8" x14ac:dyDescent="0.3">
      <c r="A133" s="66" t="s">
        <v>355</v>
      </c>
      <c r="B133" s="163" t="s">
        <v>448</v>
      </c>
      <c r="C133" s="163"/>
      <c r="D133" s="163"/>
      <c r="E133" s="163"/>
      <c r="F133" s="69">
        <f>$F$115</f>
        <v>173.01</v>
      </c>
    </row>
    <row r="134" spans="1:8" x14ac:dyDescent="0.3">
      <c r="A134" s="165" t="s">
        <v>449</v>
      </c>
      <c r="B134" s="165"/>
      <c r="C134" s="165"/>
      <c r="D134" s="165"/>
      <c r="E134" s="165"/>
      <c r="F134" s="84">
        <f>TRUNC(SUM(F129:F133),2)</f>
        <v>4528.38</v>
      </c>
    </row>
    <row r="135" spans="1:8" x14ac:dyDescent="0.3">
      <c r="A135" s="66" t="s">
        <v>357</v>
      </c>
      <c r="B135" s="166" t="s">
        <v>450</v>
      </c>
      <c r="C135" s="166"/>
      <c r="D135" s="166"/>
      <c r="E135" s="166"/>
      <c r="F135" s="69">
        <f>TRUNC(($F$125),2)</f>
        <v>952.43</v>
      </c>
    </row>
    <row r="136" spans="1:8" ht="16.5" customHeight="1" x14ac:dyDescent="0.3">
      <c r="A136" s="165" t="s">
        <v>451</v>
      </c>
      <c r="B136" s="165"/>
      <c r="C136" s="165"/>
      <c r="D136" s="165"/>
      <c r="E136" s="165"/>
      <c r="F136" s="84">
        <f>TRUNC(($F$134 + $F$135),2)</f>
        <v>5480.81</v>
      </c>
    </row>
    <row r="137" spans="1:8" ht="16.5" customHeight="1" x14ac:dyDescent="0.3">
      <c r="A137" s="167"/>
      <c r="B137" s="167"/>
      <c r="C137" s="167"/>
      <c r="D137" s="167"/>
      <c r="E137" s="167"/>
      <c r="F137" s="167"/>
      <c r="H137" s="85"/>
    </row>
    <row r="138" spans="1:8" ht="16.5" customHeight="1" x14ac:dyDescent="0.3">
      <c r="A138" s="142" t="s">
        <v>452</v>
      </c>
      <c r="B138" s="142"/>
      <c r="C138" s="142"/>
      <c r="D138" s="142"/>
      <c r="E138" s="142"/>
      <c r="F138" s="142"/>
    </row>
    <row r="139" spans="1:8" ht="20.399999999999999" x14ac:dyDescent="0.3">
      <c r="A139" s="92" t="s">
        <v>453</v>
      </c>
      <c r="B139" s="67" t="s">
        <v>454</v>
      </c>
      <c r="C139" s="67" t="s">
        <v>282</v>
      </c>
      <c r="D139" s="67" t="s">
        <v>455</v>
      </c>
      <c r="E139" s="67" t="s">
        <v>456</v>
      </c>
      <c r="F139" s="67" t="s">
        <v>74</v>
      </c>
    </row>
    <row r="140" spans="1:8" ht="20.399999999999999" x14ac:dyDescent="0.3">
      <c r="A140" s="93" t="str">
        <f>$C$26</f>
        <v>Auxiliar Administrativo II</v>
      </c>
      <c r="B140" s="94">
        <f>$F$136</f>
        <v>5480.81</v>
      </c>
      <c r="C140" s="93">
        <f>$C$22</f>
        <v>1</v>
      </c>
      <c r="D140" s="93">
        <f>$C$18</f>
        <v>12</v>
      </c>
      <c r="E140" s="94">
        <f>TRUNC(($B$140 * $C$140),2)</f>
        <v>5480.81</v>
      </c>
      <c r="F140" s="94">
        <f>TRUNC(($D$140 * $E$140),2)</f>
        <v>65769.72</v>
      </c>
    </row>
    <row r="141" spans="1:8" x14ac:dyDescent="0.3">
      <c r="A141" s="95"/>
      <c r="B141" s="95"/>
      <c r="C141" s="95"/>
      <c r="D141" s="95"/>
      <c r="E141" s="95"/>
      <c r="F141" s="95"/>
    </row>
    <row r="142" spans="1:8" x14ac:dyDescent="0.3">
      <c r="A142" s="95"/>
      <c r="B142" s="95"/>
      <c r="C142" s="95"/>
      <c r="D142" s="95"/>
      <c r="E142" s="95"/>
      <c r="F142" s="95"/>
    </row>
    <row r="143" spans="1:8" x14ac:dyDescent="0.3">
      <c r="A143" s="38"/>
      <c r="B143" s="38"/>
      <c r="C143" s="38"/>
      <c r="D143" s="38"/>
      <c r="E143" s="38"/>
      <c r="F143" s="38"/>
    </row>
  </sheetData>
  <sheetProtection sheet="1" objects="1" scenarios="1"/>
  <protectedRanges>
    <protectedRange sqref="E122:E124" name="Intervalo6"/>
    <protectedRange sqref="E94:E98" name="Intervalo5"/>
    <protectedRange sqref="E53 F67 F69 F71" name="Intervalo3"/>
    <protectedRange sqref="C28:F28 C30:F30 F35 F36 F37 F38 F39 F40" name="Intervalo1"/>
    <protectedRange sqref="C10:F10 C13:F13 C15:F15 C16:F16 C17:F17" name="Intervalo2"/>
    <protectedRange sqref="E82:E87" name="Intervalo4"/>
  </protectedRanges>
  <mergeCells count="146">
    <mergeCell ref="A1:F6"/>
    <mergeCell ref="A7:F7"/>
    <mergeCell ref="A8:F8"/>
    <mergeCell ref="A9:B9"/>
    <mergeCell ref="C9:F9"/>
    <mergeCell ref="A10:B10"/>
    <mergeCell ref="C10:F10"/>
    <mergeCell ref="A11:F11"/>
    <mergeCell ref="A12:F12"/>
    <mergeCell ref="A13:B13"/>
    <mergeCell ref="C13:F13"/>
    <mergeCell ref="A14:B14"/>
    <mergeCell ref="C14:F14"/>
    <mergeCell ref="A15:B17"/>
    <mergeCell ref="C15:F15"/>
    <mergeCell ref="C16:F16"/>
    <mergeCell ref="C17:F17"/>
    <mergeCell ref="A18:B18"/>
    <mergeCell ref="C18:F18"/>
    <mergeCell ref="A19:F19"/>
    <mergeCell ref="A20:F20"/>
    <mergeCell ref="A21:B21"/>
    <mergeCell ref="C21:F21"/>
    <mergeCell ref="A22:B22"/>
    <mergeCell ref="C22:F22"/>
    <mergeCell ref="A23:F23"/>
    <mergeCell ref="A24:F24"/>
    <mergeCell ref="A25:F25"/>
    <mergeCell ref="A26:B26"/>
    <mergeCell ref="C26:F26"/>
    <mergeCell ref="A27:B27"/>
    <mergeCell ref="C27:F27"/>
    <mergeCell ref="A28:B28"/>
    <mergeCell ref="C28:F28"/>
    <mergeCell ref="A29:B29"/>
    <mergeCell ref="C29:F29"/>
    <mergeCell ref="A30:B30"/>
    <mergeCell ref="C30:F30"/>
    <mergeCell ref="A31:F31"/>
    <mergeCell ref="A32:F32"/>
    <mergeCell ref="B33:E33"/>
    <mergeCell ref="B34:E34"/>
    <mergeCell ref="B35:E35"/>
    <mergeCell ref="B36:E36"/>
    <mergeCell ref="B37:E37"/>
    <mergeCell ref="B38:E38"/>
    <mergeCell ref="B39:E39"/>
    <mergeCell ref="B40:E40"/>
    <mergeCell ref="A41:E41"/>
    <mergeCell ref="A42:F42"/>
    <mergeCell ref="A43:F43"/>
    <mergeCell ref="A44:F44"/>
    <mergeCell ref="B45:D45"/>
    <mergeCell ref="B46:D46"/>
    <mergeCell ref="B47:D47"/>
    <mergeCell ref="A48:D48"/>
    <mergeCell ref="A49:F49"/>
    <mergeCell ref="B50:D50"/>
    <mergeCell ref="B51:D51"/>
    <mergeCell ref="B52:D52"/>
    <mergeCell ref="B53:D53"/>
    <mergeCell ref="B54:D54"/>
    <mergeCell ref="B55:D55"/>
    <mergeCell ref="B56:D56"/>
    <mergeCell ref="B57:D57"/>
    <mergeCell ref="B58:D58"/>
    <mergeCell ref="A59:D59"/>
    <mergeCell ref="A60:F60"/>
    <mergeCell ref="B61:F61"/>
    <mergeCell ref="A62:A63"/>
    <mergeCell ref="A64:A65"/>
    <mergeCell ref="B64:C64"/>
    <mergeCell ref="B65:C65"/>
    <mergeCell ref="A66:A67"/>
    <mergeCell ref="B66:E67"/>
    <mergeCell ref="A68:A69"/>
    <mergeCell ref="B68:E69"/>
    <mergeCell ref="A70:A71"/>
    <mergeCell ref="B70:E71"/>
    <mergeCell ref="A72:E72"/>
    <mergeCell ref="A73:F73"/>
    <mergeCell ref="B74:E74"/>
    <mergeCell ref="B75:E75"/>
    <mergeCell ref="B76:E76"/>
    <mergeCell ref="B77:E77"/>
    <mergeCell ref="A78:E78"/>
    <mergeCell ref="A79:F79"/>
    <mergeCell ref="A80:F80"/>
    <mergeCell ref="B81:D81"/>
    <mergeCell ref="B82:D82"/>
    <mergeCell ref="B83:D83"/>
    <mergeCell ref="B84:D84"/>
    <mergeCell ref="B85:D85"/>
    <mergeCell ref="B86:D86"/>
    <mergeCell ref="B87:D87"/>
    <mergeCell ref="A88:D88"/>
    <mergeCell ref="A89:F89"/>
    <mergeCell ref="A90:F90"/>
    <mergeCell ref="A91:F91"/>
    <mergeCell ref="B92:D92"/>
    <mergeCell ref="B93:D93"/>
    <mergeCell ref="B94:D94"/>
    <mergeCell ref="B95:D95"/>
    <mergeCell ref="B96:D96"/>
    <mergeCell ref="B97:D97"/>
    <mergeCell ref="B98:D98"/>
    <mergeCell ref="A99:D99"/>
    <mergeCell ref="A100:F100"/>
    <mergeCell ref="B101:D101"/>
    <mergeCell ref="B102:D102"/>
    <mergeCell ref="A103:F103"/>
    <mergeCell ref="B104:E104"/>
    <mergeCell ref="B105:E105"/>
    <mergeCell ref="B106:E106"/>
    <mergeCell ref="A107:E107"/>
    <mergeCell ref="A108:F108"/>
    <mergeCell ref="A109:F109"/>
    <mergeCell ref="B110:E110"/>
    <mergeCell ref="B111:E111"/>
    <mergeCell ref="B112:E112"/>
    <mergeCell ref="B113:E113"/>
    <mergeCell ref="B114:E114"/>
    <mergeCell ref="A115:E115"/>
    <mergeCell ref="A116:F116"/>
    <mergeCell ref="A117:F117"/>
    <mergeCell ref="A118:D118"/>
    <mergeCell ref="B119:D119"/>
    <mergeCell ref="B120:D120"/>
    <mergeCell ref="A121:D121"/>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s>
  <hyperlinks>
    <hyperlink ref="C9" r:id="rId1" location="/134037411" xr:uid="{00000000-0004-0000-0A00-000000000000}"/>
    <hyperlink ref="C27" r:id="rId2" xr:uid="{00000000-0004-0000-0A00-000001000000}"/>
  </hyperlinks>
  <pageMargins left="0.7" right="0.7" top="0.75" bottom="0.75" header="0.511811023622047" footer="0.511811023622047"/>
  <pageSetup paperSize="9" orientation="portrait" horizontalDpi="300" verticalDpi="300"/>
  <drawing r:id="rId3"/>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43"/>
  <sheetViews>
    <sheetView zoomScale="150" zoomScaleNormal="150" workbookViewId="0">
      <selection activeCell="C10" sqref="C10:F10"/>
    </sheetView>
  </sheetViews>
  <sheetFormatPr defaultColWidth="8.6640625" defaultRowHeight="14.4" x14ac:dyDescent="0.3"/>
  <cols>
    <col min="1" max="1" width="14.44140625" customWidth="1"/>
    <col min="2" max="2" width="20.44140625" customWidth="1"/>
    <col min="3" max="3" width="20.5546875" customWidth="1"/>
    <col min="4" max="4" width="18.5546875" customWidth="1"/>
    <col min="5" max="5" width="18.6640625" customWidth="1"/>
    <col min="6" max="6" width="18.5546875" customWidth="1"/>
  </cols>
  <sheetData>
    <row r="1" spans="1:6" x14ac:dyDescent="0.3">
      <c r="A1" s="186"/>
      <c r="B1" s="186"/>
      <c r="C1" s="186"/>
      <c r="D1" s="186"/>
      <c r="E1" s="186"/>
      <c r="F1" s="186"/>
    </row>
    <row r="2" spans="1:6" x14ac:dyDescent="0.3">
      <c r="A2" s="186"/>
      <c r="B2" s="186"/>
      <c r="C2" s="186"/>
      <c r="D2" s="186"/>
      <c r="E2" s="186"/>
      <c r="F2" s="186"/>
    </row>
    <row r="3" spans="1:6" x14ac:dyDescent="0.3">
      <c r="A3" s="186"/>
      <c r="B3" s="186"/>
      <c r="C3" s="186"/>
      <c r="D3" s="186"/>
      <c r="E3" s="186"/>
      <c r="F3" s="186"/>
    </row>
    <row r="4" spans="1:6" x14ac:dyDescent="0.3">
      <c r="A4" s="186"/>
      <c r="B4" s="186"/>
      <c r="C4" s="186"/>
      <c r="D4" s="186"/>
      <c r="E4" s="186"/>
      <c r="F4" s="186"/>
    </row>
    <row r="5" spans="1:6" x14ac:dyDescent="0.3">
      <c r="A5" s="186"/>
      <c r="B5" s="186"/>
      <c r="C5" s="186"/>
      <c r="D5" s="186"/>
      <c r="E5" s="186"/>
      <c r="F5" s="186"/>
    </row>
    <row r="6" spans="1:6" x14ac:dyDescent="0.3">
      <c r="A6" s="186"/>
      <c r="B6" s="186"/>
      <c r="C6" s="186"/>
      <c r="D6" s="186"/>
      <c r="E6" s="186"/>
      <c r="F6" s="186"/>
    </row>
    <row r="7" spans="1:6" x14ac:dyDescent="0.3">
      <c r="A7" s="167"/>
      <c r="B7" s="167"/>
      <c r="C7" s="167"/>
      <c r="D7" s="167"/>
      <c r="E7" s="167"/>
      <c r="F7" s="167"/>
    </row>
    <row r="8" spans="1:6" x14ac:dyDescent="0.3">
      <c r="A8" s="169" t="s">
        <v>314</v>
      </c>
      <c r="B8" s="169"/>
      <c r="C8" s="169"/>
      <c r="D8" s="169"/>
      <c r="E8" s="169"/>
      <c r="F8" s="169"/>
    </row>
    <row r="9" spans="1:6" x14ac:dyDescent="0.3">
      <c r="A9" s="171" t="s">
        <v>315</v>
      </c>
      <c r="B9" s="171"/>
      <c r="C9" s="187" t="s">
        <v>457</v>
      </c>
      <c r="D9" s="187"/>
      <c r="E9" s="187"/>
      <c r="F9" s="187"/>
    </row>
    <row r="10" spans="1:6" x14ac:dyDescent="0.3">
      <c r="A10" s="172" t="s">
        <v>317</v>
      </c>
      <c r="B10" s="172"/>
      <c r="C10" s="188" t="s">
        <v>318</v>
      </c>
      <c r="D10" s="188"/>
      <c r="E10" s="188"/>
      <c r="F10" s="188"/>
    </row>
    <row r="11" spans="1:6" x14ac:dyDescent="0.3">
      <c r="A11" s="167"/>
      <c r="B11" s="167"/>
      <c r="C11" s="167"/>
      <c r="D11" s="167"/>
      <c r="E11" s="167"/>
      <c r="F11" s="167"/>
    </row>
    <row r="12" spans="1:6" x14ac:dyDescent="0.3">
      <c r="A12" s="169" t="s">
        <v>319</v>
      </c>
      <c r="B12" s="169"/>
      <c r="C12" s="169"/>
      <c r="D12" s="169"/>
      <c r="E12" s="169"/>
      <c r="F12" s="169"/>
    </row>
    <row r="13" spans="1:6" x14ac:dyDescent="0.3">
      <c r="A13" s="171" t="s">
        <v>320</v>
      </c>
      <c r="B13" s="171"/>
      <c r="C13" s="184" t="s">
        <v>321</v>
      </c>
      <c r="D13" s="184"/>
      <c r="E13" s="184"/>
      <c r="F13" s="184"/>
    </row>
    <row r="14" spans="1:6" x14ac:dyDescent="0.3">
      <c r="A14" s="172" t="s">
        <v>322</v>
      </c>
      <c r="B14" s="172"/>
      <c r="C14" s="172" t="s">
        <v>323</v>
      </c>
      <c r="D14" s="172"/>
      <c r="E14" s="172"/>
      <c r="F14" s="172"/>
    </row>
    <row r="15" spans="1:6" ht="16.5" customHeight="1" x14ac:dyDescent="0.3">
      <c r="A15" s="143" t="s">
        <v>324</v>
      </c>
      <c r="B15" s="143"/>
      <c r="C15" s="185" t="s">
        <v>325</v>
      </c>
      <c r="D15" s="185"/>
      <c r="E15" s="185"/>
      <c r="F15" s="185"/>
    </row>
    <row r="16" spans="1:6" x14ac:dyDescent="0.3">
      <c r="A16" s="143"/>
      <c r="B16" s="143"/>
      <c r="C16" s="185" t="s">
        <v>326</v>
      </c>
      <c r="D16" s="185"/>
      <c r="E16" s="185"/>
      <c r="F16" s="185"/>
    </row>
    <row r="17" spans="1:10" x14ac:dyDescent="0.3">
      <c r="A17" s="143"/>
      <c r="B17" s="143"/>
      <c r="C17" s="185" t="s">
        <v>327</v>
      </c>
      <c r="D17" s="185"/>
      <c r="E17" s="185"/>
      <c r="F17" s="185"/>
    </row>
    <row r="18" spans="1:10" x14ac:dyDescent="0.3">
      <c r="A18" s="172" t="s">
        <v>328</v>
      </c>
      <c r="B18" s="172"/>
      <c r="C18" s="172">
        <v>12</v>
      </c>
      <c r="D18" s="172"/>
      <c r="E18" s="172"/>
      <c r="F18" s="172"/>
    </row>
    <row r="19" spans="1:10" x14ac:dyDescent="0.3">
      <c r="A19" s="167"/>
      <c r="B19" s="167"/>
      <c r="C19" s="167"/>
      <c r="D19" s="167"/>
      <c r="E19" s="167"/>
      <c r="F19" s="167"/>
    </row>
    <row r="20" spans="1:10" x14ac:dyDescent="0.3">
      <c r="A20" s="169" t="s">
        <v>329</v>
      </c>
      <c r="B20" s="169"/>
      <c r="C20" s="169"/>
      <c r="D20" s="169"/>
      <c r="E20" s="169"/>
      <c r="F20" s="169"/>
    </row>
    <row r="21" spans="1:10" x14ac:dyDescent="0.3">
      <c r="A21" s="171" t="s">
        <v>330</v>
      </c>
      <c r="B21" s="171"/>
      <c r="C21" s="171" t="s">
        <v>331</v>
      </c>
      <c r="D21" s="171"/>
      <c r="E21" s="171"/>
      <c r="F21" s="171"/>
    </row>
    <row r="22" spans="1:10" ht="27" customHeight="1" x14ac:dyDescent="0.3">
      <c r="A22" s="139" t="s">
        <v>332</v>
      </c>
      <c r="B22" s="139"/>
      <c r="C22" s="172">
        <v>1</v>
      </c>
      <c r="D22" s="172"/>
      <c r="E22" s="172"/>
      <c r="F22" s="172"/>
    </row>
    <row r="23" spans="1:10" x14ac:dyDescent="0.3">
      <c r="A23" s="167"/>
      <c r="B23" s="167"/>
      <c r="C23" s="167"/>
      <c r="D23" s="167"/>
      <c r="E23" s="167"/>
      <c r="F23" s="167"/>
    </row>
    <row r="24" spans="1:10" x14ac:dyDescent="0.3">
      <c r="A24" s="169" t="s">
        <v>333</v>
      </c>
      <c r="B24" s="169"/>
      <c r="C24" s="169"/>
      <c r="D24" s="169"/>
      <c r="E24" s="169"/>
      <c r="F24" s="169"/>
    </row>
    <row r="25" spans="1:10" x14ac:dyDescent="0.3">
      <c r="A25" s="172" t="s">
        <v>334</v>
      </c>
      <c r="B25" s="172"/>
      <c r="C25" s="172"/>
      <c r="D25" s="172"/>
      <c r="E25" s="172"/>
      <c r="F25" s="172"/>
    </row>
    <row r="26" spans="1:10" ht="21" customHeight="1" x14ac:dyDescent="0.3">
      <c r="A26" s="143" t="s">
        <v>335</v>
      </c>
      <c r="B26" s="143"/>
      <c r="C26" s="171" t="s">
        <v>458</v>
      </c>
      <c r="D26" s="171"/>
      <c r="E26" s="171"/>
      <c r="F26" s="171"/>
    </row>
    <row r="27" spans="1:10" x14ac:dyDescent="0.3">
      <c r="A27" s="172" t="s">
        <v>336</v>
      </c>
      <c r="B27" s="172"/>
      <c r="C27" s="191" t="s">
        <v>459</v>
      </c>
      <c r="D27" s="191"/>
      <c r="E27" s="191"/>
      <c r="F27" s="191"/>
    </row>
    <row r="28" spans="1:10" x14ac:dyDescent="0.3">
      <c r="A28" s="171" t="s">
        <v>338</v>
      </c>
      <c r="B28" s="171"/>
      <c r="C28" s="183">
        <f>'Salários.VA.VT.QteDias.LDI.T'!D3</f>
        <v>1586.86</v>
      </c>
      <c r="D28" s="183"/>
      <c r="E28" s="183"/>
      <c r="F28" s="183"/>
    </row>
    <row r="29" spans="1:10" ht="24.75" customHeight="1" x14ac:dyDescent="0.3">
      <c r="A29" s="139" t="s">
        <v>339</v>
      </c>
      <c r="B29" s="139"/>
      <c r="C29" s="172" t="s">
        <v>340</v>
      </c>
      <c r="D29" s="172"/>
      <c r="E29" s="172"/>
      <c r="F29" s="172"/>
      <c r="J29" s="96"/>
    </row>
    <row r="30" spans="1:10" x14ac:dyDescent="0.3">
      <c r="A30" s="171" t="s">
        <v>341</v>
      </c>
      <c r="B30" s="171"/>
      <c r="C30" s="184" t="s">
        <v>342</v>
      </c>
      <c r="D30" s="184"/>
      <c r="E30" s="184"/>
      <c r="F30" s="184"/>
    </row>
    <row r="31" spans="1:10" x14ac:dyDescent="0.3">
      <c r="A31" s="181" t="s">
        <v>343</v>
      </c>
      <c r="B31" s="181"/>
      <c r="C31" s="181"/>
      <c r="D31" s="181"/>
      <c r="E31" s="181"/>
      <c r="F31" s="181"/>
    </row>
    <row r="32" spans="1:10" x14ac:dyDescent="0.3">
      <c r="A32" s="169" t="s">
        <v>344</v>
      </c>
      <c r="B32" s="169"/>
      <c r="C32" s="169"/>
      <c r="D32" s="169"/>
      <c r="E32" s="169"/>
      <c r="F32" s="169"/>
    </row>
    <row r="33" spans="1:6" x14ac:dyDescent="0.3">
      <c r="A33" s="66" t="s">
        <v>1</v>
      </c>
      <c r="B33" s="166" t="s">
        <v>345</v>
      </c>
      <c r="C33" s="166"/>
      <c r="D33" s="166"/>
      <c r="E33" s="166"/>
      <c r="F33" s="70" t="s">
        <v>346</v>
      </c>
    </row>
    <row r="34" spans="1:6" x14ac:dyDescent="0.3">
      <c r="A34" s="71" t="s">
        <v>347</v>
      </c>
      <c r="B34" s="173" t="s">
        <v>348</v>
      </c>
      <c r="C34" s="173"/>
      <c r="D34" s="173"/>
      <c r="E34" s="173"/>
      <c r="F34" s="72">
        <f>$C$28</f>
        <v>1586.86</v>
      </c>
    </row>
    <row r="35" spans="1:6" x14ac:dyDescent="0.3">
      <c r="A35" s="73" t="s">
        <v>349</v>
      </c>
      <c r="B35" s="174" t="s">
        <v>350</v>
      </c>
      <c r="C35" s="174"/>
      <c r="D35" s="174"/>
      <c r="E35" s="174"/>
      <c r="F35" s="128">
        <v>0</v>
      </c>
    </row>
    <row r="36" spans="1:6" x14ac:dyDescent="0.3">
      <c r="A36" s="71" t="s">
        <v>351</v>
      </c>
      <c r="B36" s="180" t="s">
        <v>352</v>
      </c>
      <c r="C36" s="180"/>
      <c r="D36" s="180"/>
      <c r="E36" s="180"/>
      <c r="F36" s="129">
        <v>0</v>
      </c>
    </row>
    <row r="37" spans="1:6" x14ac:dyDescent="0.3">
      <c r="A37" s="73" t="s">
        <v>353</v>
      </c>
      <c r="B37" s="174" t="s">
        <v>354</v>
      </c>
      <c r="C37" s="174"/>
      <c r="D37" s="174"/>
      <c r="E37" s="174"/>
      <c r="F37" s="128">
        <v>0</v>
      </c>
    </row>
    <row r="38" spans="1:6" x14ac:dyDescent="0.3">
      <c r="A38" s="71" t="s">
        <v>355</v>
      </c>
      <c r="B38" s="173" t="s">
        <v>356</v>
      </c>
      <c r="C38" s="173"/>
      <c r="D38" s="173"/>
      <c r="E38" s="173"/>
      <c r="F38" s="129">
        <v>0</v>
      </c>
    </row>
    <row r="39" spans="1:6" x14ac:dyDescent="0.3">
      <c r="A39" s="73" t="s">
        <v>357</v>
      </c>
      <c r="B39" s="174" t="s">
        <v>358</v>
      </c>
      <c r="C39" s="174"/>
      <c r="D39" s="174"/>
      <c r="E39" s="174"/>
      <c r="F39" s="128">
        <v>0</v>
      </c>
    </row>
    <row r="40" spans="1:6" x14ac:dyDescent="0.3">
      <c r="A40" s="71" t="s">
        <v>359</v>
      </c>
      <c r="B40" s="173" t="s">
        <v>360</v>
      </c>
      <c r="C40" s="173"/>
      <c r="D40" s="173"/>
      <c r="E40" s="173"/>
      <c r="F40" s="129">
        <v>0</v>
      </c>
    </row>
    <row r="41" spans="1:6" x14ac:dyDescent="0.3">
      <c r="A41" s="169" t="s">
        <v>361</v>
      </c>
      <c r="B41" s="169"/>
      <c r="C41" s="169"/>
      <c r="D41" s="169"/>
      <c r="E41" s="169"/>
      <c r="F41" s="75">
        <f>TRUNC(SUM(F34:F40),2)</f>
        <v>1586.86</v>
      </c>
    </row>
    <row r="42" spans="1:6" x14ac:dyDescent="0.3">
      <c r="A42" s="167"/>
      <c r="B42" s="167"/>
      <c r="C42" s="167"/>
      <c r="D42" s="167"/>
      <c r="E42" s="167"/>
      <c r="F42" s="167"/>
    </row>
    <row r="43" spans="1:6" x14ac:dyDescent="0.3">
      <c r="A43" s="169" t="s">
        <v>362</v>
      </c>
      <c r="B43" s="169"/>
      <c r="C43" s="169"/>
      <c r="D43" s="169"/>
      <c r="E43" s="169"/>
      <c r="F43" s="169"/>
    </row>
    <row r="44" spans="1:6" x14ac:dyDescent="0.3">
      <c r="A44" s="162" t="s">
        <v>460</v>
      </c>
      <c r="B44" s="162"/>
      <c r="C44" s="162"/>
      <c r="D44" s="162"/>
      <c r="E44" s="162"/>
      <c r="F44" s="162"/>
    </row>
    <row r="45" spans="1:6" x14ac:dyDescent="0.3">
      <c r="A45" s="66" t="s">
        <v>364</v>
      </c>
      <c r="B45" s="166" t="s">
        <v>365</v>
      </c>
      <c r="C45" s="166"/>
      <c r="D45" s="166"/>
      <c r="E45" s="70" t="s">
        <v>366</v>
      </c>
      <c r="F45" s="70" t="s">
        <v>346</v>
      </c>
    </row>
    <row r="46" spans="1:6" x14ac:dyDescent="0.3">
      <c r="A46" s="71" t="s">
        <v>347</v>
      </c>
      <c r="B46" s="173" t="s">
        <v>367</v>
      </c>
      <c r="C46" s="173"/>
      <c r="D46" s="173"/>
      <c r="E46" s="76">
        <f>TRUNC((100/12),2)</f>
        <v>8.33</v>
      </c>
      <c r="F46" s="72">
        <f>TRUNC((F41*E46%),2)</f>
        <v>132.18</v>
      </c>
    </row>
    <row r="47" spans="1:6" x14ac:dyDescent="0.3">
      <c r="A47" s="73" t="s">
        <v>349</v>
      </c>
      <c r="B47" s="174" t="s">
        <v>368</v>
      </c>
      <c r="C47" s="174"/>
      <c r="D47" s="174"/>
      <c r="E47" s="77">
        <f>E46/3</f>
        <v>2.7766666666666668</v>
      </c>
      <c r="F47" s="74">
        <f>TRUNC((F41*E47%),2)</f>
        <v>44.06</v>
      </c>
    </row>
    <row r="48" spans="1:6" x14ac:dyDescent="0.3">
      <c r="A48" s="169" t="s">
        <v>369</v>
      </c>
      <c r="B48" s="169"/>
      <c r="C48" s="169"/>
      <c r="D48" s="169"/>
      <c r="E48" s="78">
        <f>SUM(E46:E47)</f>
        <v>11.106666666666667</v>
      </c>
      <c r="F48" s="75">
        <f>TRUNC((SUM(F46:F47)),2)</f>
        <v>176.24</v>
      </c>
    </row>
    <row r="49" spans="1:6" x14ac:dyDescent="0.3">
      <c r="A49" s="162" t="s">
        <v>370</v>
      </c>
      <c r="B49" s="162"/>
      <c r="C49" s="162"/>
      <c r="D49" s="162"/>
      <c r="E49" s="162"/>
      <c r="F49" s="162"/>
    </row>
    <row r="50" spans="1:6" x14ac:dyDescent="0.3">
      <c r="A50" s="66" t="s">
        <v>371</v>
      </c>
      <c r="B50" s="163" t="s">
        <v>372</v>
      </c>
      <c r="C50" s="163"/>
      <c r="D50" s="163"/>
      <c r="E50" s="70" t="s">
        <v>366</v>
      </c>
      <c r="F50" s="70" t="s">
        <v>346</v>
      </c>
    </row>
    <row r="51" spans="1:6" x14ac:dyDescent="0.3">
      <c r="A51" s="71" t="s">
        <v>347</v>
      </c>
      <c r="B51" s="173" t="s">
        <v>373</v>
      </c>
      <c r="C51" s="173"/>
      <c r="D51" s="173"/>
      <c r="E51" s="80">
        <v>0.2</v>
      </c>
      <c r="F51" s="72">
        <f t="shared" ref="F51:F58" si="0">TRUNC((($F$41+$F$48)*E51),2)</f>
        <v>352.62</v>
      </c>
    </row>
    <row r="52" spans="1:6" x14ac:dyDescent="0.3">
      <c r="A52" s="73" t="s">
        <v>349</v>
      </c>
      <c r="B52" s="174" t="s">
        <v>374</v>
      </c>
      <c r="C52" s="174"/>
      <c r="D52" s="174"/>
      <c r="E52" s="81">
        <v>2.5000000000000001E-2</v>
      </c>
      <c r="F52" s="74">
        <f t="shared" si="0"/>
        <v>44.07</v>
      </c>
    </row>
    <row r="53" spans="1:6" x14ac:dyDescent="0.3">
      <c r="A53" s="97" t="s">
        <v>351</v>
      </c>
      <c r="B53" s="173" t="s">
        <v>375</v>
      </c>
      <c r="C53" s="173"/>
      <c r="D53" s="173"/>
      <c r="E53" s="130">
        <v>0.03</v>
      </c>
      <c r="F53" s="72">
        <f t="shared" si="0"/>
        <v>52.89</v>
      </c>
    </row>
    <row r="54" spans="1:6" x14ac:dyDescent="0.3">
      <c r="A54" s="73" t="s">
        <v>353</v>
      </c>
      <c r="B54" s="174" t="s">
        <v>376</v>
      </c>
      <c r="C54" s="174"/>
      <c r="D54" s="174"/>
      <c r="E54" s="81">
        <v>1.4999999999999999E-2</v>
      </c>
      <c r="F54" s="74">
        <f t="shared" si="0"/>
        <v>26.44</v>
      </c>
    </row>
    <row r="55" spans="1:6" x14ac:dyDescent="0.3">
      <c r="A55" s="71" t="s">
        <v>355</v>
      </c>
      <c r="B55" s="173" t="s">
        <v>377</v>
      </c>
      <c r="C55" s="173"/>
      <c r="D55" s="173"/>
      <c r="E55" s="80">
        <v>0.01</v>
      </c>
      <c r="F55" s="72">
        <f t="shared" si="0"/>
        <v>17.63</v>
      </c>
    </row>
    <row r="56" spans="1:6" x14ac:dyDescent="0.3">
      <c r="A56" s="73" t="s">
        <v>357</v>
      </c>
      <c r="B56" s="174" t="s">
        <v>378</v>
      </c>
      <c r="C56" s="174"/>
      <c r="D56" s="174"/>
      <c r="E56" s="81">
        <v>6.0000000000000001E-3</v>
      </c>
      <c r="F56" s="74">
        <f t="shared" si="0"/>
        <v>10.57</v>
      </c>
    </row>
    <row r="57" spans="1:6" x14ac:dyDescent="0.3">
      <c r="A57" s="71" t="s">
        <v>359</v>
      </c>
      <c r="B57" s="173" t="s">
        <v>379</v>
      </c>
      <c r="C57" s="173"/>
      <c r="D57" s="173"/>
      <c r="E57" s="80">
        <v>2E-3</v>
      </c>
      <c r="F57" s="72">
        <f t="shared" si="0"/>
        <v>3.52</v>
      </c>
    </row>
    <row r="58" spans="1:6" x14ac:dyDescent="0.3">
      <c r="A58" s="73" t="s">
        <v>380</v>
      </c>
      <c r="B58" s="174" t="s">
        <v>381</v>
      </c>
      <c r="C58" s="174"/>
      <c r="D58" s="174"/>
      <c r="E58" s="81">
        <v>0.08</v>
      </c>
      <c r="F58" s="74">
        <f t="shared" si="0"/>
        <v>141.04</v>
      </c>
    </row>
    <row r="59" spans="1:6" x14ac:dyDescent="0.3">
      <c r="A59" s="169" t="s">
        <v>382</v>
      </c>
      <c r="B59" s="169"/>
      <c r="C59" s="169"/>
      <c r="D59" s="169"/>
      <c r="E59" s="82">
        <f>SUM(E51:E58)</f>
        <v>0.36800000000000005</v>
      </c>
      <c r="F59" s="75">
        <f>TRUNC((SUM(F51:F58)),2)</f>
        <v>648.78</v>
      </c>
    </row>
    <row r="60" spans="1:6" x14ac:dyDescent="0.3">
      <c r="A60" s="162" t="s">
        <v>383</v>
      </c>
      <c r="B60" s="162"/>
      <c r="C60" s="162"/>
      <c r="D60" s="162"/>
      <c r="E60" s="162"/>
      <c r="F60" s="162"/>
    </row>
    <row r="61" spans="1:6" x14ac:dyDescent="0.3">
      <c r="A61" s="2" t="s">
        <v>384</v>
      </c>
      <c r="B61" s="162" t="s">
        <v>385</v>
      </c>
      <c r="C61" s="162"/>
      <c r="D61" s="162"/>
      <c r="E61" s="162"/>
      <c r="F61" s="162"/>
    </row>
    <row r="62" spans="1:6" x14ac:dyDescent="0.3">
      <c r="A62" s="171" t="s">
        <v>347</v>
      </c>
      <c r="B62" s="66" t="s">
        <v>386</v>
      </c>
      <c r="C62" s="66" t="s">
        <v>387</v>
      </c>
      <c r="D62" s="66" t="s">
        <v>388</v>
      </c>
      <c r="E62" s="66" t="s">
        <v>389</v>
      </c>
      <c r="F62" s="73" t="s">
        <v>346</v>
      </c>
    </row>
    <row r="63" spans="1:6" x14ac:dyDescent="0.3">
      <c r="A63" s="171"/>
      <c r="B63" s="69">
        <f>'Salários.VA.VT.QteDias.LDI.T'!D19</f>
        <v>4</v>
      </c>
      <c r="C63" s="66">
        <v>2</v>
      </c>
      <c r="D63" s="66">
        <f>'Salários.VA.VT.QteDias.LDI.T'!C36</f>
        <v>21</v>
      </c>
      <c r="E63" s="69">
        <f>TRUNC(($F$34*6%),2)</f>
        <v>95.21</v>
      </c>
      <c r="F63" s="74">
        <f>TRUNC(IF(E63&gt;=168,0,((B63*C63*D63)-E63)),2)</f>
        <v>72.790000000000006</v>
      </c>
    </row>
    <row r="64" spans="1:6" x14ac:dyDescent="0.3">
      <c r="A64" s="165" t="s">
        <v>349</v>
      </c>
      <c r="B64" s="165" t="s">
        <v>390</v>
      </c>
      <c r="C64" s="165"/>
      <c r="D64" s="83" t="s">
        <v>388</v>
      </c>
      <c r="E64" s="83" t="s">
        <v>389</v>
      </c>
      <c r="F64" s="71" t="s">
        <v>346</v>
      </c>
    </row>
    <row r="65" spans="1:8" x14ac:dyDescent="0.3">
      <c r="A65" s="165"/>
      <c r="B65" s="179">
        <f>'Salários.VA.VT.QteDias.LDI.T'!C19</f>
        <v>26.7</v>
      </c>
      <c r="C65" s="179"/>
      <c r="D65" s="83">
        <f>'Salários.VA.VT.QteDias.LDI.T'!C36</f>
        <v>21</v>
      </c>
      <c r="E65" s="84">
        <f>TRUNC(0.1*(B65*D65),2)</f>
        <v>56.07</v>
      </c>
      <c r="F65" s="72">
        <f>TRUNC(((B65*D65)-E65),2)</f>
        <v>504.63</v>
      </c>
    </row>
    <row r="66" spans="1:8" x14ac:dyDescent="0.3">
      <c r="A66" s="171" t="s">
        <v>351</v>
      </c>
      <c r="B66" s="174" t="s">
        <v>391</v>
      </c>
      <c r="C66" s="174"/>
      <c r="D66" s="174"/>
      <c r="E66" s="174"/>
      <c r="F66" s="73" t="s">
        <v>346</v>
      </c>
    </row>
    <row r="67" spans="1:8" x14ac:dyDescent="0.3">
      <c r="A67" s="171"/>
      <c r="B67" s="174"/>
      <c r="C67" s="174"/>
      <c r="D67" s="174"/>
      <c r="E67" s="174"/>
      <c r="F67" s="128">
        <v>6</v>
      </c>
    </row>
    <row r="68" spans="1:8" x14ac:dyDescent="0.3">
      <c r="A68" s="165" t="s">
        <v>353</v>
      </c>
      <c r="B68" s="173" t="s">
        <v>392</v>
      </c>
      <c r="C68" s="173"/>
      <c r="D68" s="173"/>
      <c r="E68" s="173"/>
      <c r="F68" s="71" t="s">
        <v>346</v>
      </c>
    </row>
    <row r="69" spans="1:8" x14ac:dyDescent="0.3">
      <c r="A69" s="165"/>
      <c r="B69" s="173"/>
      <c r="C69" s="173"/>
      <c r="D69" s="173"/>
      <c r="E69" s="173"/>
      <c r="F69" s="129">
        <v>19.899999999999999</v>
      </c>
    </row>
    <row r="70" spans="1:8" x14ac:dyDescent="0.3">
      <c r="A70" s="171" t="s">
        <v>355</v>
      </c>
      <c r="B70" s="174" t="s">
        <v>360</v>
      </c>
      <c r="C70" s="174"/>
      <c r="D70" s="174"/>
      <c r="E70" s="174"/>
      <c r="F70" s="73" t="s">
        <v>346</v>
      </c>
    </row>
    <row r="71" spans="1:8" x14ac:dyDescent="0.3">
      <c r="A71" s="171"/>
      <c r="B71" s="174"/>
      <c r="C71" s="174"/>
      <c r="D71" s="174"/>
      <c r="E71" s="174"/>
      <c r="F71" s="128">
        <v>0</v>
      </c>
    </row>
    <row r="72" spans="1:8" x14ac:dyDescent="0.3">
      <c r="A72" s="169" t="s">
        <v>393</v>
      </c>
      <c r="B72" s="169"/>
      <c r="C72" s="169"/>
      <c r="D72" s="169"/>
      <c r="E72" s="169"/>
      <c r="F72" s="75">
        <f>TRUNC(SUM(F63,F65,F67,F69,F71),2)</f>
        <v>603.32000000000005</v>
      </c>
    </row>
    <row r="73" spans="1:8" x14ac:dyDescent="0.3">
      <c r="A73" s="162" t="s">
        <v>394</v>
      </c>
      <c r="B73" s="162"/>
      <c r="C73" s="162"/>
      <c r="D73" s="162"/>
      <c r="E73" s="162"/>
      <c r="F73" s="162"/>
    </row>
    <row r="74" spans="1:8" x14ac:dyDescent="0.3">
      <c r="A74" s="66" t="s">
        <v>395</v>
      </c>
      <c r="B74" s="178" t="s">
        <v>396</v>
      </c>
      <c r="C74" s="178"/>
      <c r="D74" s="178"/>
      <c r="E74" s="178"/>
      <c r="F74" s="66" t="s">
        <v>346</v>
      </c>
      <c r="H74" s="85"/>
    </row>
    <row r="75" spans="1:8" x14ac:dyDescent="0.3">
      <c r="A75" s="83" t="s">
        <v>364</v>
      </c>
      <c r="B75" s="176" t="s">
        <v>397</v>
      </c>
      <c r="C75" s="176"/>
      <c r="D75" s="176"/>
      <c r="E75" s="176"/>
      <c r="F75" s="84">
        <f>$F$48</f>
        <v>176.24</v>
      </c>
    </row>
    <row r="76" spans="1:8" x14ac:dyDescent="0.3">
      <c r="A76" s="66" t="s">
        <v>371</v>
      </c>
      <c r="B76" s="178" t="s">
        <v>398</v>
      </c>
      <c r="C76" s="178"/>
      <c r="D76" s="178"/>
      <c r="E76" s="178"/>
      <c r="F76" s="69">
        <f>$F$59</f>
        <v>648.78</v>
      </c>
    </row>
    <row r="77" spans="1:8" x14ac:dyDescent="0.3">
      <c r="A77" s="83" t="s">
        <v>384</v>
      </c>
      <c r="B77" s="176" t="s">
        <v>385</v>
      </c>
      <c r="C77" s="176"/>
      <c r="D77" s="176"/>
      <c r="E77" s="176"/>
      <c r="F77" s="84">
        <f>$F$72</f>
        <v>603.32000000000005</v>
      </c>
    </row>
    <row r="78" spans="1:8" x14ac:dyDescent="0.3">
      <c r="A78" s="169" t="s">
        <v>399</v>
      </c>
      <c r="B78" s="169"/>
      <c r="C78" s="169"/>
      <c r="D78" s="169"/>
      <c r="E78" s="169"/>
      <c r="F78" s="75">
        <f>TRUNC(SUM(F75:F77),2)</f>
        <v>1428.34</v>
      </c>
    </row>
    <row r="79" spans="1:8" x14ac:dyDescent="0.3">
      <c r="A79" s="167"/>
      <c r="B79" s="167"/>
      <c r="C79" s="167"/>
      <c r="D79" s="167"/>
      <c r="E79" s="167"/>
      <c r="F79" s="167"/>
    </row>
    <row r="80" spans="1:8" x14ac:dyDescent="0.3">
      <c r="A80" s="189" t="s">
        <v>400</v>
      </c>
      <c r="B80" s="189"/>
      <c r="C80" s="189"/>
      <c r="D80" s="189"/>
      <c r="E80" s="189"/>
      <c r="F80" s="189"/>
    </row>
    <row r="81" spans="1:6" x14ac:dyDescent="0.3">
      <c r="A81" s="66">
        <v>3</v>
      </c>
      <c r="B81" s="163" t="s">
        <v>401</v>
      </c>
      <c r="C81" s="163"/>
      <c r="D81" s="163"/>
      <c r="E81" s="70" t="s">
        <v>366</v>
      </c>
      <c r="F81" s="70" t="s">
        <v>346</v>
      </c>
    </row>
    <row r="82" spans="1:6" x14ac:dyDescent="0.3">
      <c r="A82" s="71" t="s">
        <v>347</v>
      </c>
      <c r="B82" s="173" t="s">
        <v>402</v>
      </c>
      <c r="C82" s="173"/>
      <c r="D82" s="173"/>
      <c r="E82" s="130">
        <f>(56.24%)*5.55%*(1/12)</f>
        <v>2.6010999999999999E-3</v>
      </c>
      <c r="F82" s="72">
        <f>TRUNC((($F$41+$F$48)*E82),2)</f>
        <v>4.58</v>
      </c>
    </row>
    <row r="83" spans="1:6" x14ac:dyDescent="0.3">
      <c r="A83" s="73" t="s">
        <v>349</v>
      </c>
      <c r="B83" s="174" t="s">
        <v>403</v>
      </c>
      <c r="C83" s="174"/>
      <c r="D83" s="174"/>
      <c r="E83" s="131">
        <f>(8%*0.29%)</f>
        <v>2.32E-4</v>
      </c>
      <c r="F83" s="86">
        <f>TRUNC((($F$41+$F$48)*E83),2)</f>
        <v>0.4</v>
      </c>
    </row>
    <row r="84" spans="1:6" ht="16.5" customHeight="1" x14ac:dyDescent="0.3">
      <c r="A84" s="71" t="s">
        <v>351</v>
      </c>
      <c r="B84" s="190" t="s">
        <v>404</v>
      </c>
      <c r="C84" s="190"/>
      <c r="D84" s="190"/>
      <c r="E84" s="130">
        <f>(56.24%)*5.55%*40%*8%</f>
        <v>9.9882240000000004E-4</v>
      </c>
      <c r="F84" s="72">
        <f>TRUNC((($F$41+$F$48)*E84),2)</f>
        <v>1.76</v>
      </c>
    </row>
    <row r="85" spans="1:6" x14ac:dyDescent="0.3">
      <c r="A85" s="73" t="s">
        <v>353</v>
      </c>
      <c r="B85" s="174" t="s">
        <v>405</v>
      </c>
      <c r="C85" s="174"/>
      <c r="D85" s="174"/>
      <c r="E85" s="131">
        <f>((56.24%)*94.45%*(7/30)/12)</f>
        <v>1.0328632222222222E-2</v>
      </c>
      <c r="F85" s="86">
        <f>TRUNC((($F$41+$F$48)*E85),2)</f>
        <v>18.21</v>
      </c>
    </row>
    <row r="86" spans="1:6" x14ac:dyDescent="0.3">
      <c r="A86" s="72" t="s">
        <v>355</v>
      </c>
      <c r="B86" s="175" t="s">
        <v>461</v>
      </c>
      <c r="C86" s="175"/>
      <c r="D86" s="175"/>
      <c r="E86" s="130">
        <f>1.03%*36.8%</f>
        <v>3.7904000000000002E-3</v>
      </c>
      <c r="F86" s="72">
        <f>TRUNC((($F$41+$F$48)*E86),2)</f>
        <v>6.68</v>
      </c>
    </row>
    <row r="87" spans="1:6" x14ac:dyDescent="0.3">
      <c r="A87" s="73" t="s">
        <v>357</v>
      </c>
      <c r="B87" s="174" t="s">
        <v>407</v>
      </c>
      <c r="C87" s="174"/>
      <c r="D87" s="174"/>
      <c r="E87" s="131">
        <f>(56.24%)*94.45%*40%*8%</f>
        <v>1.6997977600000002E-2</v>
      </c>
      <c r="F87" s="86">
        <f>TRUNC((($F$41+F48)*E87),2)</f>
        <v>29.96</v>
      </c>
    </row>
    <row r="88" spans="1:6" x14ac:dyDescent="0.3">
      <c r="A88" s="169" t="s">
        <v>408</v>
      </c>
      <c r="B88" s="169"/>
      <c r="C88" s="169"/>
      <c r="D88" s="169"/>
      <c r="E88" s="82">
        <f>SUM(E82:E87)</f>
        <v>3.4948932222222229E-2</v>
      </c>
      <c r="F88" s="75">
        <f>TRUNC(SUM(F82:F87),2)</f>
        <v>61.59</v>
      </c>
    </row>
    <row r="89" spans="1:6" x14ac:dyDescent="0.3">
      <c r="A89" s="167"/>
      <c r="B89" s="167"/>
      <c r="C89" s="167"/>
      <c r="D89" s="167"/>
      <c r="E89" s="167"/>
      <c r="F89" s="167"/>
    </row>
    <row r="90" spans="1:6" x14ac:dyDescent="0.3">
      <c r="A90" s="169" t="s">
        <v>409</v>
      </c>
      <c r="B90" s="169"/>
      <c r="C90" s="169"/>
      <c r="D90" s="169"/>
      <c r="E90" s="169"/>
      <c r="F90" s="169"/>
    </row>
    <row r="91" spans="1:6" x14ac:dyDescent="0.3">
      <c r="A91" s="162" t="s">
        <v>410</v>
      </c>
      <c r="B91" s="162"/>
      <c r="C91" s="162"/>
      <c r="D91" s="162"/>
      <c r="E91" s="162"/>
      <c r="F91" s="162"/>
    </row>
    <row r="92" spans="1:6" x14ac:dyDescent="0.3">
      <c r="A92" s="66" t="s">
        <v>411</v>
      </c>
      <c r="B92" s="163" t="s">
        <v>412</v>
      </c>
      <c r="C92" s="163"/>
      <c r="D92" s="163"/>
      <c r="E92" s="70" t="s">
        <v>366</v>
      </c>
      <c r="F92" s="70" t="s">
        <v>346</v>
      </c>
    </row>
    <row r="93" spans="1:6" x14ac:dyDescent="0.3">
      <c r="A93" s="71" t="s">
        <v>347</v>
      </c>
      <c r="B93" s="173" t="s">
        <v>462</v>
      </c>
      <c r="C93" s="173"/>
      <c r="D93" s="173"/>
      <c r="E93" s="80"/>
      <c r="F93" s="98">
        <f t="shared" ref="F93:F98" si="1">TRUNC((($F$41+$F$78)*E93),2)</f>
        <v>0</v>
      </c>
    </row>
    <row r="94" spans="1:6" x14ac:dyDescent="0.3">
      <c r="A94" s="73" t="s">
        <v>349</v>
      </c>
      <c r="B94" s="174" t="s">
        <v>463</v>
      </c>
      <c r="C94" s="174"/>
      <c r="D94" s="174"/>
      <c r="E94" s="131">
        <f>(8/30)/12</f>
        <v>2.2222222222222223E-2</v>
      </c>
      <c r="F94" s="86">
        <f t="shared" si="1"/>
        <v>67</v>
      </c>
    </row>
    <row r="95" spans="1:6" x14ac:dyDescent="0.3">
      <c r="A95" s="71" t="s">
        <v>351</v>
      </c>
      <c r="B95" s="173" t="s">
        <v>464</v>
      </c>
      <c r="C95" s="173"/>
      <c r="D95" s="173"/>
      <c r="E95" s="130">
        <f>(((20/30)/12)*1.416%*45.22%)</f>
        <v>3.557306666666666E-4</v>
      </c>
      <c r="F95" s="98">
        <f t="shared" si="1"/>
        <v>1.07</v>
      </c>
    </row>
    <row r="96" spans="1:6" x14ac:dyDescent="0.3">
      <c r="A96" s="73" t="s">
        <v>353</v>
      </c>
      <c r="B96" s="174" t="s">
        <v>465</v>
      </c>
      <c r="C96" s="174"/>
      <c r="D96" s="174"/>
      <c r="E96" s="131">
        <f>((15/30)/12)*0.44%</f>
        <v>1.8333333333333334E-4</v>
      </c>
      <c r="F96" s="86">
        <f t="shared" si="1"/>
        <v>0.55000000000000004</v>
      </c>
    </row>
    <row r="97" spans="1:6" x14ac:dyDescent="0.3">
      <c r="A97" s="71" t="s">
        <v>355</v>
      </c>
      <c r="B97" s="173" t="s">
        <v>466</v>
      </c>
      <c r="C97" s="173"/>
      <c r="D97" s="173"/>
      <c r="E97" s="130">
        <f>(((180/30)/12*1.416%*54.78%*36.8%))</f>
        <v>1.4272600319999999E-3</v>
      </c>
      <c r="F97" s="98">
        <f t="shared" si="1"/>
        <v>4.3</v>
      </c>
    </row>
    <row r="98" spans="1:6" x14ac:dyDescent="0.3">
      <c r="A98" s="73" t="s">
        <v>357</v>
      </c>
      <c r="B98" s="174" t="s">
        <v>467</v>
      </c>
      <c r="C98" s="174"/>
      <c r="D98" s="174"/>
      <c r="E98" s="131">
        <v>0</v>
      </c>
      <c r="F98" s="86">
        <f t="shared" si="1"/>
        <v>0</v>
      </c>
    </row>
    <row r="99" spans="1:6" x14ac:dyDescent="0.3">
      <c r="A99" s="169" t="s">
        <v>419</v>
      </c>
      <c r="B99" s="169"/>
      <c r="C99" s="169"/>
      <c r="D99" s="169"/>
      <c r="E99" s="82">
        <f>SUM(E93:E98)</f>
        <v>2.4188546254222225E-2</v>
      </c>
      <c r="F99" s="75">
        <f>TRUNC(SUM(F93:F98),2)</f>
        <v>72.92</v>
      </c>
    </row>
    <row r="100" spans="1:6" x14ac:dyDescent="0.3">
      <c r="A100" s="162" t="s">
        <v>420</v>
      </c>
      <c r="B100" s="162"/>
      <c r="C100" s="162"/>
      <c r="D100" s="162"/>
      <c r="E100" s="162"/>
      <c r="F100" s="162"/>
    </row>
    <row r="101" spans="1:6" x14ac:dyDescent="0.3">
      <c r="A101" s="66" t="s">
        <v>421</v>
      </c>
      <c r="B101" s="163" t="s">
        <v>422</v>
      </c>
      <c r="C101" s="163"/>
      <c r="D101" s="163"/>
      <c r="E101" s="70" t="s">
        <v>366</v>
      </c>
      <c r="F101" s="70" t="s">
        <v>346</v>
      </c>
    </row>
    <row r="102" spans="1:6" x14ac:dyDescent="0.3">
      <c r="A102" s="71" t="s">
        <v>347</v>
      </c>
      <c r="B102" s="173" t="s">
        <v>468</v>
      </c>
      <c r="C102" s="173"/>
      <c r="D102" s="173"/>
      <c r="E102" s="99" t="s">
        <v>424</v>
      </c>
      <c r="F102" s="100">
        <v>0</v>
      </c>
    </row>
    <row r="103" spans="1:6" x14ac:dyDescent="0.3">
      <c r="A103" s="162" t="s">
        <v>425</v>
      </c>
      <c r="B103" s="162"/>
      <c r="C103" s="162"/>
      <c r="D103" s="162"/>
      <c r="E103" s="162"/>
      <c r="F103" s="162"/>
    </row>
    <row r="104" spans="1:6" x14ac:dyDescent="0.3">
      <c r="A104" s="66" t="s">
        <v>426</v>
      </c>
      <c r="B104" s="163" t="s">
        <v>427</v>
      </c>
      <c r="C104" s="163"/>
      <c r="D104" s="163"/>
      <c r="E104" s="163"/>
      <c r="F104" s="70" t="s">
        <v>346</v>
      </c>
    </row>
    <row r="105" spans="1:6" x14ac:dyDescent="0.3">
      <c r="A105" s="83" t="s">
        <v>411</v>
      </c>
      <c r="B105" s="164" t="s">
        <v>412</v>
      </c>
      <c r="C105" s="164"/>
      <c r="D105" s="164"/>
      <c r="E105" s="164"/>
      <c r="F105" s="84">
        <f>$F$99</f>
        <v>72.92</v>
      </c>
    </row>
    <row r="106" spans="1:6" x14ac:dyDescent="0.3">
      <c r="A106" s="66" t="s">
        <v>421</v>
      </c>
      <c r="B106" s="163" t="s">
        <v>422</v>
      </c>
      <c r="C106" s="163"/>
      <c r="D106" s="163"/>
      <c r="E106" s="163"/>
      <c r="F106" s="69">
        <v>0</v>
      </c>
    </row>
    <row r="107" spans="1:6" x14ac:dyDescent="0.3">
      <c r="A107" s="169" t="s">
        <v>428</v>
      </c>
      <c r="B107" s="169"/>
      <c r="C107" s="169"/>
      <c r="D107" s="169"/>
      <c r="E107" s="169"/>
      <c r="F107" s="75">
        <f>TRUNC(SUM(F105+F106),2)</f>
        <v>72.92</v>
      </c>
    </row>
    <row r="108" spans="1:6" x14ac:dyDescent="0.3">
      <c r="A108" s="167"/>
      <c r="B108" s="167"/>
      <c r="C108" s="167"/>
      <c r="D108" s="167"/>
      <c r="E108" s="167"/>
      <c r="F108" s="167"/>
    </row>
    <row r="109" spans="1:6" x14ac:dyDescent="0.3">
      <c r="A109" s="169" t="s">
        <v>429</v>
      </c>
      <c r="B109" s="169"/>
      <c r="C109" s="169"/>
      <c r="D109" s="169"/>
      <c r="E109" s="169"/>
      <c r="F109" s="169"/>
    </row>
    <row r="110" spans="1:6" x14ac:dyDescent="0.3">
      <c r="A110" s="66">
        <v>5</v>
      </c>
      <c r="B110" s="163" t="s">
        <v>430</v>
      </c>
      <c r="C110" s="163"/>
      <c r="D110" s="163"/>
      <c r="E110" s="163"/>
      <c r="F110" s="70" t="s">
        <v>346</v>
      </c>
    </row>
    <row r="111" spans="1:6" x14ac:dyDescent="0.3">
      <c r="A111" s="83" t="s">
        <v>347</v>
      </c>
      <c r="B111" s="164" t="s">
        <v>21</v>
      </c>
      <c r="C111" s="164"/>
      <c r="D111" s="164"/>
      <c r="E111" s="164"/>
      <c r="F111" s="84">
        <f>Unif!I34</f>
        <v>96.37</v>
      </c>
    </row>
    <row r="112" spans="1:6" x14ac:dyDescent="0.3">
      <c r="A112" s="66" t="s">
        <v>349</v>
      </c>
      <c r="B112" s="163" t="s">
        <v>431</v>
      </c>
      <c r="C112" s="163"/>
      <c r="D112" s="163"/>
      <c r="E112" s="163"/>
      <c r="F112" s="69">
        <f>('MLHCC - Ônus da Contratada'!G19+MLPH!F91)</f>
        <v>200.2</v>
      </c>
    </row>
    <row r="113" spans="1:6" x14ac:dyDescent="0.3">
      <c r="A113" s="83" t="s">
        <v>351</v>
      </c>
      <c r="B113" s="164" t="s">
        <v>469</v>
      </c>
      <c r="C113" s="164"/>
      <c r="D113" s="164"/>
      <c r="E113" s="164"/>
      <c r="F113" s="84"/>
    </row>
    <row r="114" spans="1:6" x14ac:dyDescent="0.3">
      <c r="A114" s="73" t="s">
        <v>353</v>
      </c>
      <c r="B114" s="174" t="s">
        <v>470</v>
      </c>
      <c r="C114" s="174"/>
      <c r="D114" s="174"/>
      <c r="E114" s="174"/>
      <c r="F114" s="69">
        <f>'EPI´s - LC'!E8</f>
        <v>5.23</v>
      </c>
    </row>
    <row r="115" spans="1:6" x14ac:dyDescent="0.3">
      <c r="A115" s="169" t="s">
        <v>434</v>
      </c>
      <c r="B115" s="169"/>
      <c r="C115" s="169"/>
      <c r="D115" s="169"/>
      <c r="E115" s="169"/>
      <c r="F115" s="75">
        <f>TRUNC(SUM(F111:F114),2)</f>
        <v>301.8</v>
      </c>
    </row>
    <row r="116" spans="1:6" x14ac:dyDescent="0.3">
      <c r="A116" s="167"/>
      <c r="B116" s="167"/>
      <c r="C116" s="167"/>
      <c r="D116" s="167"/>
      <c r="E116" s="167"/>
      <c r="F116" s="167"/>
    </row>
    <row r="117" spans="1:6" x14ac:dyDescent="0.3">
      <c r="A117" s="169" t="s">
        <v>435</v>
      </c>
      <c r="B117" s="169"/>
      <c r="C117" s="169"/>
      <c r="D117" s="169"/>
      <c r="E117" s="169"/>
      <c r="F117" s="169"/>
    </row>
    <row r="118" spans="1:6" x14ac:dyDescent="0.3">
      <c r="A118" s="171" t="s">
        <v>436</v>
      </c>
      <c r="B118" s="171"/>
      <c r="C118" s="171"/>
      <c r="D118" s="171"/>
      <c r="E118" s="70" t="s">
        <v>366</v>
      </c>
      <c r="F118" s="101" t="s">
        <v>346</v>
      </c>
    </row>
    <row r="119" spans="1:6" x14ac:dyDescent="0.3">
      <c r="A119" s="83" t="s">
        <v>347</v>
      </c>
      <c r="B119" s="164" t="s">
        <v>437</v>
      </c>
      <c r="C119" s="164"/>
      <c r="D119" s="164"/>
      <c r="E119" s="88">
        <f>'Salários.VA.VT.QteDias.LDI.T'!$D$46</f>
        <v>4.7300000000000002E-2</v>
      </c>
      <c r="F119" s="72">
        <f>TRUNC(($F$134*$E$119),2)</f>
        <v>163.25</v>
      </c>
    </row>
    <row r="120" spans="1:6" x14ac:dyDescent="0.3">
      <c r="A120" s="66" t="s">
        <v>349</v>
      </c>
      <c r="B120" s="163" t="s">
        <v>438</v>
      </c>
      <c r="C120" s="163"/>
      <c r="D120" s="163"/>
      <c r="E120" s="90">
        <f>'Salários.VA.VT.QteDias.LDI.T'!$D$47</f>
        <v>5.57E-2</v>
      </c>
      <c r="F120" s="74">
        <f>TRUNC((($F$134+$F$119)*E120),2)</f>
        <v>201.34</v>
      </c>
    </row>
    <row r="121" spans="1:6" x14ac:dyDescent="0.3">
      <c r="A121" s="172" t="s">
        <v>439</v>
      </c>
      <c r="B121" s="172"/>
      <c r="C121" s="172"/>
      <c r="D121" s="172"/>
      <c r="E121" s="4" t="s">
        <v>366</v>
      </c>
      <c r="F121" s="102" t="s">
        <v>346</v>
      </c>
    </row>
    <row r="122" spans="1:6" x14ac:dyDescent="0.3">
      <c r="A122" s="66" t="s">
        <v>347</v>
      </c>
      <c r="B122" s="163" t="s">
        <v>55</v>
      </c>
      <c r="C122" s="163"/>
      <c r="D122" s="163"/>
      <c r="E122" s="132">
        <v>6.4999999999999997E-3</v>
      </c>
      <c r="F122" s="74">
        <f>TRUNC(((($F$134+$F$119+$F$120)/0.9135)*E122),2)</f>
        <v>27.15</v>
      </c>
    </row>
    <row r="123" spans="1:6" x14ac:dyDescent="0.3">
      <c r="A123" s="60" t="s">
        <v>349</v>
      </c>
      <c r="B123" s="168" t="s">
        <v>440</v>
      </c>
      <c r="C123" s="168"/>
      <c r="D123" s="168"/>
      <c r="E123" s="133">
        <v>0.03</v>
      </c>
      <c r="F123" s="89">
        <f>TRUNC(((($F$134+$F$119+$F$120)/0.9135)*E123),2)</f>
        <v>125.32</v>
      </c>
    </row>
    <row r="124" spans="1:6" x14ac:dyDescent="0.3">
      <c r="A124" s="66" t="s">
        <v>351</v>
      </c>
      <c r="B124" s="163" t="s">
        <v>57</v>
      </c>
      <c r="C124" s="163"/>
      <c r="D124" s="163"/>
      <c r="E124" s="132">
        <v>0.05</v>
      </c>
      <c r="F124" s="74">
        <f>TRUNC(((($F$134+$F$119+$F$120)/0.9135)*E124),2)</f>
        <v>208.87</v>
      </c>
    </row>
    <row r="125" spans="1:6" x14ac:dyDescent="0.3">
      <c r="A125" s="169" t="s">
        <v>441</v>
      </c>
      <c r="B125" s="169"/>
      <c r="C125" s="169"/>
      <c r="D125" s="169"/>
      <c r="E125" s="82">
        <f>SUM(E122:E124)</f>
        <v>8.6499999999999994E-2</v>
      </c>
      <c r="F125" s="75">
        <f>TRUNC(SUM($F$119,$F$120,$F$122,$F$123,$F$124),2)</f>
        <v>725.93</v>
      </c>
    </row>
    <row r="126" spans="1:6" x14ac:dyDescent="0.3">
      <c r="A126" s="167"/>
      <c r="B126" s="167"/>
      <c r="C126" s="167"/>
      <c r="D126" s="167"/>
      <c r="E126" s="167"/>
      <c r="F126" s="167"/>
    </row>
    <row r="127" spans="1:6" x14ac:dyDescent="0.3">
      <c r="A127" s="170" t="s">
        <v>442</v>
      </c>
      <c r="B127" s="170"/>
      <c r="C127" s="170"/>
      <c r="D127" s="170"/>
      <c r="E127" s="170"/>
      <c r="F127" s="170"/>
    </row>
    <row r="128" spans="1:6" x14ac:dyDescent="0.3">
      <c r="A128" s="162" t="s">
        <v>443</v>
      </c>
      <c r="B128" s="162"/>
      <c r="C128" s="162"/>
      <c r="D128" s="162"/>
      <c r="E128" s="162"/>
      <c r="F128" s="3" t="s">
        <v>346</v>
      </c>
    </row>
    <row r="129" spans="1:8" x14ac:dyDescent="0.3">
      <c r="A129" s="66" t="s">
        <v>347</v>
      </c>
      <c r="B129" s="163" t="s">
        <v>444</v>
      </c>
      <c r="C129" s="163"/>
      <c r="D129" s="163"/>
      <c r="E129" s="163"/>
      <c r="F129" s="69">
        <f>$F$41</f>
        <v>1586.86</v>
      </c>
    </row>
    <row r="130" spans="1:8" x14ac:dyDescent="0.3">
      <c r="A130" s="83" t="s">
        <v>349</v>
      </c>
      <c r="B130" s="164" t="s">
        <v>445</v>
      </c>
      <c r="C130" s="164"/>
      <c r="D130" s="164"/>
      <c r="E130" s="164"/>
      <c r="F130" s="84">
        <f>$F$78</f>
        <v>1428.34</v>
      </c>
    </row>
    <row r="131" spans="1:8" x14ac:dyDescent="0.3">
      <c r="A131" s="66" t="s">
        <v>351</v>
      </c>
      <c r="B131" s="163" t="s">
        <v>446</v>
      </c>
      <c r="C131" s="163"/>
      <c r="D131" s="163"/>
      <c r="E131" s="163"/>
      <c r="F131" s="69">
        <f>$F$88</f>
        <v>61.59</v>
      </c>
    </row>
    <row r="132" spans="1:8" x14ac:dyDescent="0.3">
      <c r="A132" s="83" t="s">
        <v>353</v>
      </c>
      <c r="B132" s="164" t="s">
        <v>447</v>
      </c>
      <c r="C132" s="164"/>
      <c r="D132" s="164"/>
      <c r="E132" s="164"/>
      <c r="F132" s="84">
        <f>$F$107</f>
        <v>72.92</v>
      </c>
    </row>
    <row r="133" spans="1:8" x14ac:dyDescent="0.3">
      <c r="A133" s="66" t="s">
        <v>355</v>
      </c>
      <c r="B133" s="163" t="s">
        <v>448</v>
      </c>
      <c r="C133" s="163"/>
      <c r="D133" s="163"/>
      <c r="E133" s="163"/>
      <c r="F133" s="69">
        <f>$F$115</f>
        <v>301.8</v>
      </c>
    </row>
    <row r="134" spans="1:8" x14ac:dyDescent="0.3">
      <c r="A134" s="165" t="s">
        <v>449</v>
      </c>
      <c r="B134" s="165"/>
      <c r="C134" s="165"/>
      <c r="D134" s="165"/>
      <c r="E134" s="165"/>
      <c r="F134" s="84">
        <f>TRUNC(SUM(F129:F133),2)</f>
        <v>3451.51</v>
      </c>
    </row>
    <row r="135" spans="1:8" x14ac:dyDescent="0.3">
      <c r="A135" s="66" t="s">
        <v>357</v>
      </c>
      <c r="B135" s="166" t="s">
        <v>450</v>
      </c>
      <c r="C135" s="166"/>
      <c r="D135" s="166"/>
      <c r="E135" s="166"/>
      <c r="F135" s="69">
        <f>TRUNC(($F$125),2)</f>
        <v>725.93</v>
      </c>
    </row>
    <row r="136" spans="1:8" ht="16.5" customHeight="1" x14ac:dyDescent="0.3">
      <c r="A136" s="165" t="s">
        <v>451</v>
      </c>
      <c r="B136" s="165"/>
      <c r="C136" s="165"/>
      <c r="D136" s="165"/>
      <c r="E136" s="165"/>
      <c r="F136" s="84">
        <f>TRUNC(($F$134 + $F$135),2)</f>
        <v>4177.4399999999996</v>
      </c>
    </row>
    <row r="137" spans="1:8" ht="16.5" customHeight="1" x14ac:dyDescent="0.3">
      <c r="A137" s="167"/>
      <c r="B137" s="167"/>
      <c r="C137" s="167"/>
      <c r="D137" s="167"/>
      <c r="E137" s="167"/>
      <c r="F137" s="167"/>
      <c r="H137" s="85"/>
    </row>
    <row r="138" spans="1:8" ht="16.5" customHeight="1" x14ac:dyDescent="0.3">
      <c r="A138" s="142" t="s">
        <v>452</v>
      </c>
      <c r="B138" s="142"/>
      <c r="C138" s="142"/>
      <c r="D138" s="142"/>
      <c r="E138" s="142"/>
      <c r="F138" s="142"/>
    </row>
    <row r="139" spans="1:8" ht="20.399999999999999" x14ac:dyDescent="0.3">
      <c r="A139" s="92" t="s">
        <v>453</v>
      </c>
      <c r="B139" s="67" t="s">
        <v>454</v>
      </c>
      <c r="C139" s="67" t="s">
        <v>282</v>
      </c>
      <c r="D139" s="67" t="s">
        <v>455</v>
      </c>
      <c r="E139" s="67" t="s">
        <v>456</v>
      </c>
      <c r="F139" s="67" t="s">
        <v>74</v>
      </c>
    </row>
    <row r="140" spans="1:8" ht="20.399999999999999" x14ac:dyDescent="0.3">
      <c r="A140" s="93" t="str">
        <f>$C$26</f>
        <v>Serventes de Limpeza e Conservação</v>
      </c>
      <c r="B140" s="94">
        <f>$F$136</f>
        <v>4177.4399999999996</v>
      </c>
      <c r="C140" s="93">
        <f>$C$22</f>
        <v>1</v>
      </c>
      <c r="D140" s="93">
        <f>$C$18</f>
        <v>12</v>
      </c>
      <c r="E140" s="94">
        <f>TRUNC(($B$140 * $C$140),2)</f>
        <v>4177.4399999999996</v>
      </c>
      <c r="F140" s="94">
        <f>TRUNC(($D$140 * $E$140),2)</f>
        <v>50129.279999999999</v>
      </c>
    </row>
    <row r="141" spans="1:8" x14ac:dyDescent="0.3">
      <c r="A141" s="95"/>
      <c r="B141" s="95"/>
      <c r="C141" s="95"/>
      <c r="D141" s="95"/>
      <c r="E141" s="95"/>
      <c r="F141" s="95"/>
    </row>
    <row r="142" spans="1:8" x14ac:dyDescent="0.3">
      <c r="A142" s="95"/>
      <c r="B142" s="95"/>
      <c r="C142" s="95"/>
      <c r="D142" s="95"/>
      <c r="E142" s="95"/>
      <c r="F142" s="95"/>
    </row>
    <row r="143" spans="1:8" x14ac:dyDescent="0.3">
      <c r="A143" s="38"/>
      <c r="B143" s="38"/>
      <c r="C143" s="38"/>
      <c r="D143" s="38"/>
      <c r="E143" s="38"/>
      <c r="F143" s="38"/>
    </row>
  </sheetData>
  <sheetProtection sheet="1" objects="1" scenarios="1"/>
  <protectedRanges>
    <protectedRange sqref="E122:E124" name="Intervalo6"/>
    <protectedRange sqref="E82:E87" name="Intervalo4"/>
    <protectedRange sqref="C28:F28 C30:F30 F35 F36 F37 F38 F39 F40" name="Intervalo2"/>
    <protectedRange sqref="C10:F10 C13:F13 C15:F15 C16:F16 C17:F17" name="Intervalo1"/>
    <protectedRange sqref="E53 F67 F69 F71" name="Intervalo3"/>
    <protectedRange sqref="E94:E98" name="Intervalo5"/>
  </protectedRanges>
  <mergeCells count="146">
    <mergeCell ref="A1:F6"/>
    <mergeCell ref="A7:F7"/>
    <mergeCell ref="A8:F8"/>
    <mergeCell ref="A9:B9"/>
    <mergeCell ref="C9:F9"/>
    <mergeCell ref="A10:B10"/>
    <mergeCell ref="C10:F10"/>
    <mergeCell ref="A11:F11"/>
    <mergeCell ref="A12:F12"/>
    <mergeCell ref="A13:B13"/>
    <mergeCell ref="C13:F13"/>
    <mergeCell ref="A14:B14"/>
    <mergeCell ref="C14:F14"/>
    <mergeCell ref="A15:B17"/>
    <mergeCell ref="C15:F15"/>
    <mergeCell ref="C16:F16"/>
    <mergeCell ref="C17:F17"/>
    <mergeCell ref="A18:B18"/>
    <mergeCell ref="C18:F18"/>
    <mergeCell ref="A19:F19"/>
    <mergeCell ref="A20:F20"/>
    <mergeCell ref="A21:B21"/>
    <mergeCell ref="C21:F21"/>
    <mergeCell ref="A22:B22"/>
    <mergeCell ref="C22:F22"/>
    <mergeCell ref="A23:F23"/>
    <mergeCell ref="A24:F24"/>
    <mergeCell ref="A25:F25"/>
    <mergeCell ref="A26:B26"/>
    <mergeCell ref="C26:F26"/>
    <mergeCell ref="A27:B27"/>
    <mergeCell ref="C27:F27"/>
    <mergeCell ref="A28:B28"/>
    <mergeCell ref="C28:F28"/>
    <mergeCell ref="A29:B29"/>
    <mergeCell ref="C29:F29"/>
    <mergeCell ref="A30:B30"/>
    <mergeCell ref="C30:F30"/>
    <mergeCell ref="A31:F31"/>
    <mergeCell ref="A32:F32"/>
    <mergeCell ref="B33:E33"/>
    <mergeCell ref="B34:E34"/>
    <mergeCell ref="B35:E35"/>
    <mergeCell ref="B36:E36"/>
    <mergeCell ref="B37:E37"/>
    <mergeCell ref="B38:E38"/>
    <mergeCell ref="B39:E39"/>
    <mergeCell ref="B40:E40"/>
    <mergeCell ref="A41:E41"/>
    <mergeCell ref="A42:F42"/>
    <mergeCell ref="A43:F43"/>
    <mergeCell ref="A44:F44"/>
    <mergeCell ref="B45:D45"/>
    <mergeCell ref="B46:D46"/>
    <mergeCell ref="B47:D47"/>
    <mergeCell ref="A48:D48"/>
    <mergeCell ref="A49:F49"/>
    <mergeCell ref="B50:D50"/>
    <mergeCell ref="B51:D51"/>
    <mergeCell ref="B52:D52"/>
    <mergeCell ref="B53:D53"/>
    <mergeCell ref="B54:D54"/>
    <mergeCell ref="B55:D55"/>
    <mergeCell ref="B56:D56"/>
    <mergeCell ref="B57:D57"/>
    <mergeCell ref="B58:D58"/>
    <mergeCell ref="A59:D59"/>
    <mergeCell ref="A60:F60"/>
    <mergeCell ref="B61:F61"/>
    <mergeCell ref="A62:A63"/>
    <mergeCell ref="A64:A65"/>
    <mergeCell ref="B64:C64"/>
    <mergeCell ref="B65:C65"/>
    <mergeCell ref="A66:A67"/>
    <mergeCell ref="B66:E67"/>
    <mergeCell ref="A68:A69"/>
    <mergeCell ref="B68:E69"/>
    <mergeCell ref="A70:A71"/>
    <mergeCell ref="B70:E71"/>
    <mergeCell ref="A72:E72"/>
    <mergeCell ref="A73:F73"/>
    <mergeCell ref="B74:E74"/>
    <mergeCell ref="B75:E75"/>
    <mergeCell ref="B76:E76"/>
    <mergeCell ref="B77:E77"/>
    <mergeCell ref="A78:E78"/>
    <mergeCell ref="A79:F79"/>
    <mergeCell ref="A80:F80"/>
    <mergeCell ref="B81:D81"/>
    <mergeCell ref="B82:D82"/>
    <mergeCell ref="B83:D83"/>
    <mergeCell ref="B84:D84"/>
    <mergeCell ref="B85:D85"/>
    <mergeCell ref="B86:D86"/>
    <mergeCell ref="B87:D87"/>
    <mergeCell ref="A88:D88"/>
    <mergeCell ref="A89:F89"/>
    <mergeCell ref="A90:F90"/>
    <mergeCell ref="A91:F91"/>
    <mergeCell ref="B92:D92"/>
    <mergeCell ref="B93:D93"/>
    <mergeCell ref="B94:D94"/>
    <mergeCell ref="B95:D95"/>
    <mergeCell ref="B96:D96"/>
    <mergeCell ref="B97:D97"/>
    <mergeCell ref="B98:D98"/>
    <mergeCell ref="A99:D99"/>
    <mergeCell ref="A100:F100"/>
    <mergeCell ref="B101:D101"/>
    <mergeCell ref="B102:D102"/>
    <mergeCell ref="A103:F103"/>
    <mergeCell ref="B104:E104"/>
    <mergeCell ref="B105:E105"/>
    <mergeCell ref="B106:E106"/>
    <mergeCell ref="A107:E107"/>
    <mergeCell ref="A108:F108"/>
    <mergeCell ref="A109:F109"/>
    <mergeCell ref="B110:E110"/>
    <mergeCell ref="B111:E111"/>
    <mergeCell ref="B112:E112"/>
    <mergeCell ref="B113:E113"/>
    <mergeCell ref="B114:E114"/>
    <mergeCell ref="A115:E115"/>
    <mergeCell ref="A116:F116"/>
    <mergeCell ref="A117:F117"/>
    <mergeCell ref="A118:D118"/>
    <mergeCell ref="B119:D119"/>
    <mergeCell ref="B120:D120"/>
    <mergeCell ref="A121:D121"/>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s>
  <hyperlinks>
    <hyperlink ref="C9" r:id="rId1" location="/134037411" xr:uid="{00000000-0004-0000-0B00-000000000000}"/>
    <hyperlink ref="C27" r:id="rId2" xr:uid="{00000000-0004-0000-0B00-000001000000}"/>
  </hyperlinks>
  <pageMargins left="0.7" right="0.7" top="0.75" bottom="0.75" header="0.511811023622047" footer="0.511811023622047"/>
  <pageSetup paperSize="9" orientation="portrait" horizontalDpi="300" verticalDpi="30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58"/>
  <sheetViews>
    <sheetView zoomScale="160" zoomScaleNormal="160" workbookViewId="0">
      <selection activeCell="F50" activeCellId="3" sqref="F38 F42 F46 F50"/>
    </sheetView>
  </sheetViews>
  <sheetFormatPr defaultColWidth="8.6640625" defaultRowHeight="14.4" x14ac:dyDescent="0.3"/>
  <cols>
    <col min="1" max="1" width="14.109375" customWidth="1"/>
    <col min="2" max="2" width="36.5546875" customWidth="1"/>
    <col min="3" max="4" width="18.44140625" customWidth="1"/>
    <col min="5" max="5" width="18.109375" customWidth="1"/>
    <col min="6" max="6" width="18.5546875" customWidth="1"/>
  </cols>
  <sheetData>
    <row r="1" spans="1:10" ht="131.25" customHeight="1" x14ac:dyDescent="0.3">
      <c r="A1" s="141"/>
      <c r="B1" s="141"/>
      <c r="C1" s="141"/>
      <c r="D1" s="141"/>
      <c r="E1" s="141"/>
      <c r="F1" s="141"/>
      <c r="J1" s="103"/>
    </row>
    <row r="2" spans="1:10" ht="15" customHeight="1" x14ac:dyDescent="0.3">
      <c r="A2" s="142" t="s">
        <v>471</v>
      </c>
      <c r="B2" s="142"/>
      <c r="C2" s="142"/>
      <c r="D2" s="142"/>
      <c r="E2" s="142"/>
      <c r="F2" s="142"/>
    </row>
    <row r="3" spans="1:10" ht="15" customHeight="1" x14ac:dyDescent="0.3">
      <c r="A3" s="149" t="s">
        <v>472</v>
      </c>
      <c r="B3" s="149"/>
      <c r="C3" s="149"/>
      <c r="D3" s="149"/>
      <c r="E3" s="149"/>
      <c r="F3" s="149"/>
    </row>
    <row r="4" spans="1:10" ht="15" customHeight="1" x14ac:dyDescent="0.3">
      <c r="A4" s="142" t="s">
        <v>473</v>
      </c>
      <c r="B4" s="142"/>
      <c r="C4" s="142"/>
      <c r="D4" s="142"/>
      <c r="E4" s="142"/>
      <c r="F4" s="142"/>
    </row>
    <row r="5" spans="1:10" ht="15" customHeight="1" x14ac:dyDescent="0.3">
      <c r="A5" s="149" t="s">
        <v>474</v>
      </c>
      <c r="B5" s="149"/>
      <c r="C5" s="149"/>
      <c r="D5" s="149"/>
      <c r="E5" s="149"/>
      <c r="F5" s="149"/>
    </row>
    <row r="6" spans="1:10" ht="62.25" customHeight="1" x14ac:dyDescent="0.3">
      <c r="A6" s="151" t="s">
        <v>475</v>
      </c>
      <c r="B6" s="151"/>
      <c r="C6" s="151"/>
      <c r="D6" s="151"/>
      <c r="E6" s="151"/>
      <c r="F6" s="151"/>
    </row>
    <row r="7" spans="1:10" x14ac:dyDescent="0.3">
      <c r="A7" s="141"/>
      <c r="B7" s="141"/>
      <c r="C7" s="141"/>
      <c r="D7" s="141"/>
      <c r="E7" s="141"/>
      <c r="F7" s="141"/>
    </row>
    <row r="8" spans="1:10" ht="15" customHeight="1" x14ac:dyDescent="0.3">
      <c r="A8" s="142" t="s">
        <v>476</v>
      </c>
      <c r="B8" s="142"/>
      <c r="C8" s="142"/>
      <c r="D8" s="142"/>
      <c r="E8" s="142"/>
      <c r="F8" s="142"/>
    </row>
    <row r="9" spans="1:10" ht="15" customHeight="1" x14ac:dyDescent="0.3">
      <c r="A9" s="143" t="s">
        <v>477</v>
      </c>
      <c r="B9" s="143"/>
      <c r="C9" s="143"/>
      <c r="D9" s="143"/>
      <c r="E9" s="143"/>
      <c r="F9" s="143"/>
    </row>
    <row r="10" spans="1:10" ht="15" customHeight="1" x14ac:dyDescent="0.3">
      <c r="A10" s="139" t="s">
        <v>478</v>
      </c>
      <c r="B10" s="139"/>
      <c r="C10" s="139"/>
      <c r="D10" s="139"/>
      <c r="E10" s="139"/>
      <c r="F10" s="139"/>
    </row>
    <row r="11" spans="1:10" ht="15" customHeight="1" x14ac:dyDescent="0.3">
      <c r="A11" s="143" t="s">
        <v>479</v>
      </c>
      <c r="B11" s="143"/>
      <c r="C11" s="143"/>
      <c r="D11" s="143"/>
      <c r="E11" s="143"/>
      <c r="F11" s="143"/>
    </row>
    <row r="12" spans="1:10" ht="15" customHeight="1" x14ac:dyDescent="0.3">
      <c r="A12" s="150" t="s">
        <v>480</v>
      </c>
      <c r="B12" s="150"/>
      <c r="C12" s="139"/>
      <c r="D12" s="139"/>
      <c r="E12" s="139"/>
      <c r="F12" s="139"/>
    </row>
    <row r="13" spans="1:10" ht="15" customHeight="1" x14ac:dyDescent="0.3">
      <c r="A13" s="143" t="s">
        <v>481</v>
      </c>
      <c r="B13" s="143"/>
      <c r="C13" s="104"/>
      <c r="D13" s="104"/>
      <c r="E13" s="104"/>
      <c r="F13" s="104"/>
    </row>
    <row r="14" spans="1:10" ht="21" customHeight="1" x14ac:dyDescent="0.3">
      <c r="A14" s="139" t="s">
        <v>482</v>
      </c>
      <c r="B14" s="139"/>
      <c r="C14" s="68" t="s">
        <v>483</v>
      </c>
      <c r="D14" s="68" t="s">
        <v>484</v>
      </c>
      <c r="E14" s="68" t="s">
        <v>485</v>
      </c>
      <c r="F14" s="68" t="s">
        <v>486</v>
      </c>
    </row>
    <row r="15" spans="1:10" x14ac:dyDescent="0.3">
      <c r="A15" s="141"/>
      <c r="B15" s="141"/>
      <c r="C15" s="141"/>
      <c r="D15" s="141"/>
      <c r="E15" s="141"/>
      <c r="F15" s="141"/>
    </row>
    <row r="16" spans="1:10" ht="15" customHeight="1" x14ac:dyDescent="0.3">
      <c r="A16" s="149" t="s">
        <v>487</v>
      </c>
      <c r="B16" s="149"/>
      <c r="C16" s="149"/>
      <c r="D16" s="149"/>
      <c r="E16" s="149"/>
      <c r="F16" s="149"/>
    </row>
    <row r="17" spans="1:6" ht="15" customHeight="1" x14ac:dyDescent="0.3">
      <c r="A17" s="143" t="s">
        <v>488</v>
      </c>
      <c r="B17" s="143"/>
      <c r="C17" s="143"/>
      <c r="D17" s="143"/>
      <c r="E17" s="143"/>
      <c r="F17" s="143"/>
    </row>
    <row r="18" spans="1:6" ht="21" customHeight="1" x14ac:dyDescent="0.3">
      <c r="A18" s="139" t="s">
        <v>489</v>
      </c>
      <c r="B18" s="139"/>
      <c r="C18" s="68" t="s">
        <v>490</v>
      </c>
      <c r="D18" s="68" t="s">
        <v>491</v>
      </c>
      <c r="E18" s="139" t="s">
        <v>492</v>
      </c>
      <c r="F18" s="139"/>
    </row>
    <row r="19" spans="1:6" x14ac:dyDescent="0.3">
      <c r="A19" s="141"/>
      <c r="B19" s="141"/>
      <c r="C19" s="141"/>
      <c r="D19" s="141"/>
      <c r="E19" s="141"/>
      <c r="F19" s="141"/>
    </row>
    <row r="20" spans="1:6" ht="15" customHeight="1" x14ac:dyDescent="0.3">
      <c r="A20" s="142" t="s">
        <v>493</v>
      </c>
      <c r="B20" s="142"/>
      <c r="C20" s="142"/>
      <c r="D20" s="142"/>
      <c r="E20" s="142"/>
      <c r="F20" s="142"/>
    </row>
    <row r="21" spans="1:6" ht="39.75" customHeight="1" x14ac:dyDescent="0.3">
      <c r="A21" s="67" t="s">
        <v>347</v>
      </c>
      <c r="B21" s="148" t="s">
        <v>494</v>
      </c>
      <c r="C21" s="148"/>
      <c r="D21" s="148"/>
      <c r="E21" s="148"/>
      <c r="F21" s="148"/>
    </row>
    <row r="22" spans="1:6" ht="39.75" customHeight="1" x14ac:dyDescent="0.3">
      <c r="A22" s="68" t="s">
        <v>349</v>
      </c>
      <c r="B22" s="147" t="s">
        <v>495</v>
      </c>
      <c r="C22" s="147"/>
      <c r="D22" s="147"/>
      <c r="E22" s="147"/>
      <c r="F22" s="147"/>
    </row>
    <row r="23" spans="1:6" ht="39.75" customHeight="1" x14ac:dyDescent="0.3">
      <c r="A23" s="67" t="s">
        <v>351</v>
      </c>
      <c r="B23" s="148" t="s">
        <v>496</v>
      </c>
      <c r="C23" s="148"/>
      <c r="D23" s="148"/>
      <c r="E23" s="148"/>
      <c r="F23" s="148"/>
    </row>
    <row r="24" spans="1:6" ht="39.75" customHeight="1" x14ac:dyDescent="0.3">
      <c r="A24" s="68" t="s">
        <v>353</v>
      </c>
      <c r="B24" s="147" t="s">
        <v>497</v>
      </c>
      <c r="C24" s="147"/>
      <c r="D24" s="147"/>
      <c r="E24" s="147"/>
      <c r="F24" s="147"/>
    </row>
    <row r="25" spans="1:6" ht="39.75" customHeight="1" x14ac:dyDescent="0.3">
      <c r="A25" s="67" t="s">
        <v>355</v>
      </c>
      <c r="B25" s="148" t="s">
        <v>498</v>
      </c>
      <c r="C25" s="148"/>
      <c r="D25" s="148"/>
      <c r="E25" s="148"/>
      <c r="F25" s="148"/>
    </row>
    <row r="26" spans="1:6" ht="39.75" customHeight="1" x14ac:dyDescent="0.3">
      <c r="A26" s="68" t="s">
        <v>357</v>
      </c>
      <c r="B26" s="147" t="s">
        <v>499</v>
      </c>
      <c r="C26" s="147"/>
      <c r="D26" s="147"/>
      <c r="E26" s="147"/>
      <c r="F26" s="147"/>
    </row>
    <row r="27" spans="1:6" ht="39.75" customHeight="1" x14ac:dyDescent="0.3">
      <c r="A27" s="67" t="s">
        <v>359</v>
      </c>
      <c r="B27" s="148" t="s">
        <v>500</v>
      </c>
      <c r="C27" s="148"/>
      <c r="D27" s="148"/>
      <c r="E27" s="148"/>
      <c r="F27" s="148"/>
    </row>
    <row r="28" spans="1:6" ht="39.75" customHeight="1" x14ac:dyDescent="0.3">
      <c r="A28" s="68" t="s">
        <v>380</v>
      </c>
      <c r="B28" s="147" t="s">
        <v>501</v>
      </c>
      <c r="C28" s="147"/>
      <c r="D28" s="147"/>
      <c r="E28" s="147"/>
      <c r="F28" s="147"/>
    </row>
    <row r="29" spans="1:6" ht="39.75" customHeight="1" x14ac:dyDescent="0.3">
      <c r="A29" s="67" t="s">
        <v>502</v>
      </c>
      <c r="B29" s="148" t="s">
        <v>503</v>
      </c>
      <c r="C29" s="148"/>
      <c r="D29" s="148"/>
      <c r="E29" s="148"/>
      <c r="F29" s="148"/>
    </row>
    <row r="30" spans="1:6" ht="39.75" customHeight="1" x14ac:dyDescent="0.3">
      <c r="A30" s="68" t="s">
        <v>504</v>
      </c>
      <c r="B30" s="147" t="s">
        <v>505</v>
      </c>
      <c r="C30" s="147"/>
      <c r="D30" s="147"/>
      <c r="E30" s="147"/>
      <c r="F30" s="147"/>
    </row>
    <row r="31" spans="1:6" ht="39.75" customHeight="1" x14ac:dyDescent="0.3">
      <c r="A31" s="67" t="s">
        <v>506</v>
      </c>
      <c r="B31" s="148" t="s">
        <v>507</v>
      </c>
      <c r="C31" s="148"/>
      <c r="D31" s="148"/>
      <c r="E31" s="148"/>
      <c r="F31" s="148"/>
    </row>
    <row r="32" spans="1:6" ht="15" customHeight="1" x14ac:dyDescent="0.3">
      <c r="A32" s="68" t="s">
        <v>508</v>
      </c>
      <c r="B32" s="147" t="s">
        <v>509</v>
      </c>
      <c r="C32" s="147"/>
      <c r="D32" s="147"/>
      <c r="E32" s="147"/>
      <c r="F32" s="147"/>
    </row>
    <row r="33" spans="1:6" x14ac:dyDescent="0.3">
      <c r="A33" s="141"/>
      <c r="B33" s="141"/>
      <c r="C33" s="141"/>
      <c r="D33" s="141"/>
      <c r="E33" s="141"/>
      <c r="F33" s="141"/>
    </row>
    <row r="34" spans="1:6" ht="15" customHeight="1" x14ac:dyDescent="0.3">
      <c r="A34" s="142" t="s">
        <v>510</v>
      </c>
      <c r="B34" s="142"/>
      <c r="C34" s="142"/>
      <c r="D34" s="142"/>
      <c r="E34" s="142"/>
      <c r="F34" s="142"/>
    </row>
    <row r="35" spans="1:6" ht="20.399999999999999" x14ac:dyDescent="0.3">
      <c r="A35" s="67" t="s">
        <v>1</v>
      </c>
      <c r="B35" s="67" t="s">
        <v>511</v>
      </c>
      <c r="C35" s="67" t="s">
        <v>454</v>
      </c>
      <c r="D35" s="67" t="s">
        <v>282</v>
      </c>
      <c r="E35" s="67" t="s">
        <v>512</v>
      </c>
      <c r="F35" s="67" t="s">
        <v>513</v>
      </c>
    </row>
    <row r="36" spans="1:6" x14ac:dyDescent="0.3">
      <c r="A36" s="68">
        <v>1</v>
      </c>
      <c r="B36" s="68" t="s">
        <v>514</v>
      </c>
      <c r="C36" s="105">
        <f>AAII!B140</f>
        <v>5480.81</v>
      </c>
      <c r="D36" s="68">
        <f>AAII!C22</f>
        <v>1</v>
      </c>
      <c r="E36" s="105">
        <f>C36*D36</f>
        <v>5480.81</v>
      </c>
      <c r="F36" s="105">
        <f>TRUNC((E36*12),2)</f>
        <v>65769.72</v>
      </c>
    </row>
    <row r="37" spans="1:6" x14ac:dyDescent="0.3">
      <c r="A37" s="67">
        <v>2</v>
      </c>
      <c r="B37" s="67" t="s">
        <v>515</v>
      </c>
      <c r="C37" s="106">
        <f>SLCeCopeiragem!B140</f>
        <v>4177.4399999999996</v>
      </c>
      <c r="D37" s="67">
        <f>SLCeCopeiragem!C22</f>
        <v>1</v>
      </c>
      <c r="E37" s="106">
        <f>C37*D37</f>
        <v>4177.4399999999996</v>
      </c>
      <c r="F37" s="106">
        <f>TRUNC((E37*12),2)</f>
        <v>50129.279999999999</v>
      </c>
    </row>
    <row r="38" spans="1:6" ht="15" customHeight="1" x14ac:dyDescent="0.3">
      <c r="A38" s="139" t="s">
        <v>516</v>
      </c>
      <c r="B38" s="139"/>
      <c r="C38" s="107"/>
      <c r="D38" s="108">
        <f>SUM(D36:D37)</f>
        <v>2</v>
      </c>
      <c r="E38" s="107">
        <f>SUM(E36:E37)</f>
        <v>9658.25</v>
      </c>
      <c r="F38" s="105">
        <f>TRUNC((E38*12),2)</f>
        <v>115899</v>
      </c>
    </row>
    <row r="39" spans="1:6" x14ac:dyDescent="0.3">
      <c r="A39" s="141"/>
      <c r="B39" s="141"/>
      <c r="C39" s="141"/>
      <c r="D39" s="141"/>
      <c r="E39" s="141"/>
      <c r="F39" s="141"/>
    </row>
    <row r="40" spans="1:6" ht="15" customHeight="1" x14ac:dyDescent="0.3">
      <c r="A40" s="142" t="s">
        <v>517</v>
      </c>
      <c r="B40" s="142"/>
      <c r="C40" s="142"/>
      <c r="D40" s="142"/>
      <c r="E40" s="142"/>
      <c r="F40" s="142"/>
    </row>
    <row r="41" spans="1:6" ht="15" customHeight="1" x14ac:dyDescent="0.3">
      <c r="A41" s="109">
        <v>3</v>
      </c>
      <c r="B41" s="145" t="s">
        <v>518</v>
      </c>
      <c r="C41" s="145"/>
      <c r="D41" s="145"/>
      <c r="E41" s="109" t="s">
        <v>519</v>
      </c>
      <c r="F41" s="109" t="s">
        <v>68</v>
      </c>
    </row>
    <row r="42" spans="1:6" ht="15" customHeight="1" x14ac:dyDescent="0.3">
      <c r="A42" s="139" t="s">
        <v>520</v>
      </c>
      <c r="B42" s="139"/>
      <c r="C42" s="139"/>
      <c r="D42" s="139"/>
      <c r="E42" s="107"/>
      <c r="F42" s="107">
        <f>Gás!K3</f>
        <v>322.52</v>
      </c>
    </row>
    <row r="43" spans="1:6" x14ac:dyDescent="0.3">
      <c r="A43" s="146"/>
      <c r="B43" s="146"/>
      <c r="C43" s="146"/>
      <c r="D43" s="146"/>
      <c r="E43" s="146"/>
      <c r="F43" s="146"/>
    </row>
    <row r="44" spans="1:6" ht="15" customHeight="1" x14ac:dyDescent="0.3">
      <c r="A44" s="142" t="s">
        <v>521</v>
      </c>
      <c r="B44" s="142"/>
      <c r="C44" s="142"/>
      <c r="D44" s="142"/>
      <c r="E44" s="142"/>
      <c r="F44" s="142"/>
    </row>
    <row r="45" spans="1:6" ht="16.5" customHeight="1" x14ac:dyDescent="0.3">
      <c r="A45" s="67">
        <v>4</v>
      </c>
      <c r="B45" s="143" t="s">
        <v>522</v>
      </c>
      <c r="C45" s="143"/>
      <c r="D45" s="143"/>
      <c r="E45" s="67" t="s">
        <v>519</v>
      </c>
      <c r="F45" s="67" t="s">
        <v>68</v>
      </c>
    </row>
    <row r="46" spans="1:6" ht="16.5" customHeight="1" x14ac:dyDescent="0.3">
      <c r="A46" s="139" t="s">
        <v>520</v>
      </c>
      <c r="B46" s="139"/>
      <c r="C46" s="139"/>
      <c r="D46" s="139"/>
      <c r="E46" s="107">
        <f>GA!J10</f>
        <v>203.7</v>
      </c>
      <c r="F46" s="107">
        <f>GA!K10</f>
        <v>2444.4</v>
      </c>
    </row>
    <row r="47" spans="1:6" x14ac:dyDescent="0.3">
      <c r="A47" s="144"/>
      <c r="B47" s="144"/>
      <c r="C47" s="144"/>
      <c r="D47" s="144"/>
      <c r="E47" s="144"/>
      <c r="F47" s="144"/>
    </row>
    <row r="48" spans="1:6" ht="15" customHeight="1" x14ac:dyDescent="0.3">
      <c r="A48" s="142" t="s">
        <v>523</v>
      </c>
      <c r="B48" s="142"/>
      <c r="C48" s="142"/>
      <c r="D48" s="142"/>
      <c r="E48" s="142"/>
      <c r="F48" s="142"/>
    </row>
    <row r="49" spans="1:6" ht="15" customHeight="1" x14ac:dyDescent="0.3">
      <c r="A49" s="67">
        <v>5</v>
      </c>
      <c r="B49" s="143" t="s">
        <v>524</v>
      </c>
      <c r="C49" s="143"/>
      <c r="D49" s="143"/>
      <c r="E49" s="67" t="s">
        <v>519</v>
      </c>
      <c r="F49" s="67" t="s">
        <v>68</v>
      </c>
    </row>
    <row r="50" spans="1:6" ht="15" customHeight="1" x14ac:dyDescent="0.3">
      <c r="A50" s="139" t="s">
        <v>520</v>
      </c>
      <c r="B50" s="139"/>
      <c r="C50" s="139"/>
      <c r="D50" s="139"/>
      <c r="E50" s="107">
        <f>'MCC - Sob Demanda'!J67</f>
        <v>318.89999999999998</v>
      </c>
      <c r="F50" s="107">
        <f>'MCC - Sob Demanda'!J64</f>
        <v>3826.91</v>
      </c>
    </row>
    <row r="51" spans="1:6" x14ac:dyDescent="0.3">
      <c r="A51" s="141"/>
      <c r="B51" s="141"/>
      <c r="C51" s="141"/>
      <c r="D51" s="141"/>
      <c r="E51" s="141"/>
      <c r="F51" s="141"/>
    </row>
    <row r="52" spans="1:6" ht="15" customHeight="1" x14ac:dyDescent="0.3">
      <c r="A52" s="142" t="s">
        <v>525</v>
      </c>
      <c r="B52" s="142"/>
      <c r="C52" s="142"/>
      <c r="D52" s="142"/>
      <c r="E52" s="142"/>
      <c r="F52" s="142"/>
    </row>
    <row r="53" spans="1:6" ht="16.5" customHeight="1" x14ac:dyDescent="0.3">
      <c r="A53" s="143" t="s">
        <v>526</v>
      </c>
      <c r="B53" s="143"/>
      <c r="C53" s="143" t="s">
        <v>519</v>
      </c>
      <c r="D53" s="143"/>
      <c r="E53" s="143" t="s">
        <v>68</v>
      </c>
      <c r="F53" s="143"/>
    </row>
    <row r="54" spans="1:6" ht="15" customHeight="1" x14ac:dyDescent="0.3">
      <c r="A54" s="139" t="s">
        <v>527</v>
      </c>
      <c r="B54" s="139"/>
      <c r="C54" s="140">
        <f>TRUNC((E38+E42+E46+E50),2)</f>
        <v>10180.85</v>
      </c>
      <c r="D54" s="140"/>
      <c r="E54" s="140">
        <f>TRUNC((F38+F42+F46+F50),2)</f>
        <v>122492.83</v>
      </c>
      <c r="F54" s="140"/>
    </row>
    <row r="55" spans="1:6" x14ac:dyDescent="0.3">
      <c r="A55" s="38"/>
      <c r="B55" s="38"/>
      <c r="C55" s="38"/>
      <c r="D55" s="38"/>
      <c r="E55" s="38"/>
      <c r="F55" s="38"/>
    </row>
    <row r="56" spans="1:6" x14ac:dyDescent="0.3">
      <c r="A56" s="38"/>
      <c r="B56" s="38"/>
      <c r="C56" s="38"/>
      <c r="D56" s="38"/>
      <c r="E56" s="38"/>
      <c r="F56" s="38"/>
    </row>
    <row r="57" spans="1:6" x14ac:dyDescent="0.3">
      <c r="A57" s="38"/>
      <c r="B57" s="38"/>
      <c r="C57" s="38"/>
      <c r="D57" s="38"/>
      <c r="E57" s="38"/>
      <c r="F57" s="38"/>
    </row>
    <row r="58" spans="1:6" x14ac:dyDescent="0.3">
      <c r="A58" s="38"/>
      <c r="B58" s="38"/>
      <c r="C58" s="38"/>
      <c r="D58" s="38"/>
      <c r="E58" s="38"/>
      <c r="F58" s="38"/>
    </row>
  </sheetData>
  <mergeCells count="62">
    <mergeCell ref="A1:F1"/>
    <mergeCell ref="A2:F2"/>
    <mergeCell ref="A3:F3"/>
    <mergeCell ref="A4:F4"/>
    <mergeCell ref="A5:F5"/>
    <mergeCell ref="A6:F6"/>
    <mergeCell ref="A7:F7"/>
    <mergeCell ref="A8:F8"/>
    <mergeCell ref="A9:B9"/>
    <mergeCell ref="C9:F9"/>
    <mergeCell ref="A10:B10"/>
    <mergeCell ref="C10:F10"/>
    <mergeCell ref="A11:B11"/>
    <mergeCell ref="C11:F11"/>
    <mergeCell ref="A12:B12"/>
    <mergeCell ref="C12:D12"/>
    <mergeCell ref="E12:F12"/>
    <mergeCell ref="A13:B13"/>
    <mergeCell ref="A14:B14"/>
    <mergeCell ref="A15:F15"/>
    <mergeCell ref="A16:F16"/>
    <mergeCell ref="A17:B17"/>
    <mergeCell ref="C17:F17"/>
    <mergeCell ref="A18:B18"/>
    <mergeCell ref="E18:F18"/>
    <mergeCell ref="A19:F19"/>
    <mergeCell ref="A20:F20"/>
    <mergeCell ref="B21:F21"/>
    <mergeCell ref="B22:F22"/>
    <mergeCell ref="B23:F23"/>
    <mergeCell ref="B24:F24"/>
    <mergeCell ref="B25:F25"/>
    <mergeCell ref="B26:F26"/>
    <mergeCell ref="B27:F27"/>
    <mergeCell ref="B28:F28"/>
    <mergeCell ref="B29:F29"/>
    <mergeCell ref="B30:F30"/>
    <mergeCell ref="B31:F31"/>
    <mergeCell ref="B32:F32"/>
    <mergeCell ref="A33:F33"/>
    <mergeCell ref="A34:F34"/>
    <mergeCell ref="A38:B38"/>
    <mergeCell ref="A39:F39"/>
    <mergeCell ref="A40:F40"/>
    <mergeCell ref="B41:D41"/>
    <mergeCell ref="A42:D42"/>
    <mergeCell ref="A43:F43"/>
    <mergeCell ref="A44:F44"/>
    <mergeCell ref="B45:D45"/>
    <mergeCell ref="A46:D46"/>
    <mergeCell ref="A47:F47"/>
    <mergeCell ref="A48:F48"/>
    <mergeCell ref="B49:D49"/>
    <mergeCell ref="A54:B54"/>
    <mergeCell ref="C54:D54"/>
    <mergeCell ref="E54:F54"/>
    <mergeCell ref="A50:D50"/>
    <mergeCell ref="A51:F51"/>
    <mergeCell ref="A52:F52"/>
    <mergeCell ref="A53:B53"/>
    <mergeCell ref="C53:D53"/>
    <mergeCell ref="E53:F53"/>
  </mergeCells>
  <pageMargins left="0.51180555555555596" right="0.51180555555555596" top="0.78749999999999998" bottom="0.78749999999999998" header="0.511811023622047" footer="0.511811023622047"/>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2"/>
  <sheetViews>
    <sheetView zoomScaleNormal="100" workbookViewId="0">
      <selection sqref="A1:C1"/>
    </sheetView>
  </sheetViews>
  <sheetFormatPr defaultColWidth="8.6640625" defaultRowHeight="14.4" x14ac:dyDescent="0.3"/>
  <cols>
    <col min="2" max="2" width="44.33203125" customWidth="1"/>
    <col min="3" max="3" width="108.44140625" customWidth="1"/>
  </cols>
  <sheetData>
    <row r="1" spans="1:3" x14ac:dyDescent="0.3">
      <c r="A1" s="152" t="s">
        <v>0</v>
      </c>
      <c r="B1" s="152"/>
      <c r="C1" s="152"/>
    </row>
    <row r="2" spans="1:3" x14ac:dyDescent="0.3">
      <c r="A2" s="2" t="s">
        <v>1</v>
      </c>
      <c r="B2" s="8" t="s">
        <v>2</v>
      </c>
      <c r="C2" s="2" t="s">
        <v>3</v>
      </c>
    </row>
    <row r="3" spans="1:3" x14ac:dyDescent="0.3">
      <c r="A3" s="2">
        <f t="shared" ref="A3:A14" si="0">ROW()-2</f>
        <v>1</v>
      </c>
      <c r="B3" s="8" t="s">
        <v>4</v>
      </c>
      <c r="C3" s="2" t="s">
        <v>5</v>
      </c>
    </row>
    <row r="4" spans="1:3" x14ac:dyDescent="0.3">
      <c r="A4" s="2">
        <f t="shared" si="0"/>
        <v>2</v>
      </c>
      <c r="B4" s="8" t="s">
        <v>6</v>
      </c>
      <c r="C4" s="2" t="s">
        <v>7</v>
      </c>
    </row>
    <row r="5" spans="1:3" x14ac:dyDescent="0.3">
      <c r="A5" s="2">
        <f t="shared" si="0"/>
        <v>3</v>
      </c>
      <c r="B5" s="9" t="s">
        <v>8</v>
      </c>
      <c r="C5" s="10" t="s">
        <v>9</v>
      </c>
    </row>
    <row r="6" spans="1:3" x14ac:dyDescent="0.3">
      <c r="A6" s="2">
        <f t="shared" si="0"/>
        <v>4</v>
      </c>
      <c r="B6" s="8" t="s">
        <v>10</v>
      </c>
      <c r="C6" s="2" t="s">
        <v>11</v>
      </c>
    </row>
    <row r="7" spans="1:3" x14ac:dyDescent="0.3">
      <c r="A7" s="2">
        <f t="shared" si="0"/>
        <v>5</v>
      </c>
      <c r="B7" s="8" t="s">
        <v>12</v>
      </c>
      <c r="C7" s="2" t="s">
        <v>13</v>
      </c>
    </row>
    <row r="8" spans="1:3" x14ac:dyDescent="0.3">
      <c r="A8" s="2">
        <f t="shared" si="0"/>
        <v>6</v>
      </c>
      <c r="B8" s="8" t="s">
        <v>14</v>
      </c>
      <c r="C8" s="2" t="s">
        <v>15</v>
      </c>
    </row>
    <row r="9" spans="1:3" x14ac:dyDescent="0.3">
      <c r="A9" s="2">
        <f t="shared" si="0"/>
        <v>7</v>
      </c>
      <c r="B9" s="8" t="s">
        <v>16</v>
      </c>
      <c r="C9" s="2" t="s">
        <v>17</v>
      </c>
    </row>
    <row r="10" spans="1:3" x14ac:dyDescent="0.3">
      <c r="A10" s="2">
        <f t="shared" si="0"/>
        <v>8</v>
      </c>
      <c r="B10" s="8" t="s">
        <v>18</v>
      </c>
      <c r="C10" s="2" t="s">
        <v>19</v>
      </c>
    </row>
    <row r="11" spans="1:3" x14ac:dyDescent="0.3">
      <c r="A11" s="2">
        <f t="shared" si="0"/>
        <v>9</v>
      </c>
      <c r="B11" s="8" t="s">
        <v>20</v>
      </c>
      <c r="C11" s="2" t="s">
        <v>21</v>
      </c>
    </row>
    <row r="12" spans="1:3" x14ac:dyDescent="0.3">
      <c r="A12" s="2">
        <f t="shared" si="0"/>
        <v>10</v>
      </c>
      <c r="B12" s="8" t="s">
        <v>22</v>
      </c>
      <c r="C12" s="2" t="s">
        <v>23</v>
      </c>
    </row>
    <row r="13" spans="1:3" x14ac:dyDescent="0.3">
      <c r="A13" s="2">
        <f t="shared" si="0"/>
        <v>11</v>
      </c>
      <c r="B13" s="8" t="s">
        <v>24</v>
      </c>
      <c r="C13" s="2" t="s">
        <v>25</v>
      </c>
    </row>
    <row r="14" spans="1:3" x14ac:dyDescent="0.3">
      <c r="A14" s="2">
        <f t="shared" si="0"/>
        <v>12</v>
      </c>
      <c r="B14" s="8" t="s">
        <v>26</v>
      </c>
      <c r="C14" s="2" t="s">
        <v>27</v>
      </c>
    </row>
    <row r="22" spans="3:3" x14ac:dyDescent="0.3">
      <c r="C22" s="11"/>
    </row>
  </sheetData>
  <mergeCells count="1">
    <mergeCell ref="A1:C1"/>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
  <sheetViews>
    <sheetView zoomScaleNormal="100" workbookViewId="0">
      <selection sqref="A1:B1"/>
    </sheetView>
  </sheetViews>
  <sheetFormatPr defaultColWidth="8.6640625" defaultRowHeight="14.4" x14ac:dyDescent="0.3"/>
  <cols>
    <col min="2" max="2" width="46.109375" customWidth="1"/>
  </cols>
  <sheetData>
    <row r="1" spans="1:2" x14ac:dyDescent="0.3">
      <c r="A1" s="152" t="s">
        <v>28</v>
      </c>
      <c r="B1" s="152"/>
    </row>
    <row r="2" spans="1:2" x14ac:dyDescent="0.3">
      <c r="A2" s="2">
        <f>ROW()-1</f>
        <v>1</v>
      </c>
      <c r="B2" s="8" t="s">
        <v>25</v>
      </c>
    </row>
    <row r="3" spans="1:2" x14ac:dyDescent="0.3">
      <c r="A3" s="2">
        <f>ROW()-1</f>
        <v>2</v>
      </c>
      <c r="B3" s="8" t="s">
        <v>29</v>
      </c>
    </row>
    <row r="4" spans="1:2" x14ac:dyDescent="0.3">
      <c r="B4" s="12"/>
    </row>
  </sheetData>
  <mergeCells count="1">
    <mergeCell ref="A1:B1"/>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56"/>
  <sheetViews>
    <sheetView zoomScaleNormal="100" workbookViewId="0">
      <selection activeCell="D46" sqref="D46:D47"/>
    </sheetView>
  </sheetViews>
  <sheetFormatPr defaultColWidth="8.6640625" defaultRowHeight="14.4" x14ac:dyDescent="0.3"/>
  <cols>
    <col min="1" max="1" width="20.5546875" customWidth="1"/>
    <col min="2" max="2" width="21.44140625" customWidth="1"/>
    <col min="3" max="3" width="26.6640625" customWidth="1"/>
    <col min="4" max="4" width="34.88671875" customWidth="1"/>
  </cols>
  <sheetData>
    <row r="1" spans="1:4" s="11" customFormat="1" ht="30" customHeight="1" x14ac:dyDescent="0.3">
      <c r="A1" s="155" t="s">
        <v>30</v>
      </c>
      <c r="B1" s="155"/>
      <c r="C1" s="155"/>
      <c r="D1" s="155"/>
    </row>
    <row r="2" spans="1:4" s="11" customFormat="1" ht="30" customHeight="1" x14ac:dyDescent="0.3">
      <c r="A2" s="141" t="s">
        <v>31</v>
      </c>
      <c r="B2" s="141"/>
      <c r="C2" s="7" t="s">
        <v>25</v>
      </c>
      <c r="D2" s="7" t="s">
        <v>27</v>
      </c>
    </row>
    <row r="3" spans="1:4" s="11" customFormat="1" ht="30" customHeight="1" x14ac:dyDescent="0.3">
      <c r="A3" s="13" t="s">
        <v>32</v>
      </c>
      <c r="B3" s="13" t="s">
        <v>33</v>
      </c>
      <c r="C3" s="14">
        <f>TRUNC((2371.327),2)</f>
        <v>2371.3200000000002</v>
      </c>
      <c r="D3" s="14">
        <f>TRUNC((1586.86),2)</f>
        <v>1586.86</v>
      </c>
    </row>
    <row r="4" spans="1:4" x14ac:dyDescent="0.3">
      <c r="A4" s="7" t="s">
        <v>32</v>
      </c>
      <c r="B4" s="7" t="s">
        <v>34</v>
      </c>
      <c r="C4" s="14"/>
      <c r="D4" s="14"/>
    </row>
    <row r="5" spans="1:4" x14ac:dyDescent="0.3">
      <c r="A5" s="7" t="s">
        <v>32</v>
      </c>
      <c r="B5" s="7" t="s">
        <v>35</v>
      </c>
      <c r="C5" s="14"/>
      <c r="D5" s="14"/>
    </row>
    <row r="6" spans="1:4" x14ac:dyDescent="0.3">
      <c r="A6" s="7" t="s">
        <v>32</v>
      </c>
      <c r="B6" s="7" t="s">
        <v>36</v>
      </c>
      <c r="C6" s="14"/>
      <c r="D6" s="14"/>
    </row>
    <row r="7" spans="1:4" x14ac:dyDescent="0.3">
      <c r="A7" s="7" t="s">
        <v>32</v>
      </c>
      <c r="B7" s="7" t="s">
        <v>37</v>
      </c>
      <c r="C7" s="14"/>
      <c r="D7" s="14"/>
    </row>
    <row r="8" spans="1:4" x14ac:dyDescent="0.3">
      <c r="A8" s="7" t="s">
        <v>32</v>
      </c>
      <c r="B8" s="7" t="s">
        <v>38</v>
      </c>
      <c r="C8" s="14"/>
      <c r="D8" s="14"/>
    </row>
    <row r="9" spans="1:4" x14ac:dyDescent="0.3">
      <c r="A9" s="7" t="s">
        <v>32</v>
      </c>
      <c r="B9" s="7" t="s">
        <v>39</v>
      </c>
      <c r="C9" s="14"/>
      <c r="D9" s="14"/>
    </row>
    <row r="10" spans="1:4" x14ac:dyDescent="0.3">
      <c r="A10" s="7" t="s">
        <v>32</v>
      </c>
      <c r="B10" s="7" t="s">
        <v>40</v>
      </c>
      <c r="C10" s="14"/>
      <c r="D10" s="14"/>
    </row>
    <row r="11" spans="1:4" x14ac:dyDescent="0.3">
      <c r="A11" s="7" t="s">
        <v>32</v>
      </c>
      <c r="B11" s="7" t="s">
        <v>41</v>
      </c>
      <c r="C11" s="14"/>
      <c r="D11" s="14"/>
    </row>
    <row r="12" spans="1:4" x14ac:dyDescent="0.3">
      <c r="A12" s="7" t="s">
        <v>32</v>
      </c>
      <c r="B12" s="7" t="s">
        <v>42</v>
      </c>
      <c r="C12" s="14"/>
      <c r="D12" s="14"/>
    </row>
    <row r="13" spans="1:4" x14ac:dyDescent="0.3">
      <c r="A13" s="15"/>
      <c r="B13" s="15"/>
      <c r="C13" s="15"/>
      <c r="D13" s="15"/>
    </row>
    <row r="14" spans="1:4" x14ac:dyDescent="0.3">
      <c r="A14" s="15"/>
      <c r="B14" s="15"/>
      <c r="C14" s="15"/>
      <c r="D14" s="15"/>
    </row>
    <row r="15" spans="1:4" x14ac:dyDescent="0.3">
      <c r="A15" s="15"/>
      <c r="B15" s="15"/>
      <c r="C15" s="15"/>
      <c r="D15" s="15"/>
    </row>
    <row r="16" spans="1:4" x14ac:dyDescent="0.3">
      <c r="A16" s="15"/>
      <c r="B16" s="15"/>
      <c r="C16" s="15"/>
      <c r="D16" s="15"/>
    </row>
    <row r="17" spans="1:4" x14ac:dyDescent="0.3">
      <c r="A17" s="15"/>
      <c r="B17" s="15"/>
      <c r="C17" s="15"/>
      <c r="D17" s="15"/>
    </row>
    <row r="18" spans="1:4" x14ac:dyDescent="0.3">
      <c r="A18" s="15"/>
      <c r="B18" s="16" t="s">
        <v>43</v>
      </c>
      <c r="C18" s="16" t="s">
        <v>44</v>
      </c>
      <c r="D18" s="16" t="s">
        <v>45</v>
      </c>
    </row>
    <row r="19" spans="1:4" x14ac:dyDescent="0.3">
      <c r="A19" s="15"/>
      <c r="B19" s="13" t="s">
        <v>46</v>
      </c>
      <c r="C19" s="120">
        <f>TRUNC((26.7),2)</f>
        <v>26.7</v>
      </c>
      <c r="D19" s="120">
        <f>TRUNC((4),2)</f>
        <v>4</v>
      </c>
    </row>
    <row r="20" spans="1:4" x14ac:dyDescent="0.3">
      <c r="A20" s="15"/>
      <c r="B20" s="6" t="s">
        <v>47</v>
      </c>
      <c r="C20" s="14"/>
      <c r="D20" s="14"/>
    </row>
    <row r="21" spans="1:4" x14ac:dyDescent="0.3">
      <c r="A21" s="15"/>
      <c r="B21" s="6" t="s">
        <v>47</v>
      </c>
      <c r="C21" s="14"/>
      <c r="D21" s="14"/>
    </row>
    <row r="22" spans="1:4" x14ac:dyDescent="0.3">
      <c r="A22" s="15"/>
      <c r="B22" s="6" t="s">
        <v>47</v>
      </c>
      <c r="C22" s="14"/>
      <c r="D22" s="14"/>
    </row>
    <row r="23" spans="1:4" x14ac:dyDescent="0.3">
      <c r="A23" s="15"/>
      <c r="B23" s="6" t="s">
        <v>47</v>
      </c>
      <c r="C23" s="14"/>
      <c r="D23" s="14"/>
    </row>
    <row r="24" spans="1:4" x14ac:dyDescent="0.3">
      <c r="A24" s="15"/>
      <c r="B24" s="6" t="s">
        <v>47</v>
      </c>
      <c r="C24" s="14"/>
      <c r="D24" s="14"/>
    </row>
    <row r="25" spans="1:4" x14ac:dyDescent="0.3">
      <c r="A25" s="15"/>
      <c r="B25" s="6" t="s">
        <v>47</v>
      </c>
      <c r="C25" s="14"/>
      <c r="D25" s="14"/>
    </row>
    <row r="26" spans="1:4" x14ac:dyDescent="0.3">
      <c r="A26" s="15"/>
      <c r="B26" s="6" t="s">
        <v>47</v>
      </c>
      <c r="C26" s="14"/>
      <c r="D26" s="14"/>
    </row>
    <row r="27" spans="1:4" x14ac:dyDescent="0.3">
      <c r="A27" s="15"/>
      <c r="B27" s="6" t="s">
        <v>47</v>
      </c>
      <c r="C27" s="14"/>
      <c r="D27" s="14"/>
    </row>
    <row r="28" spans="1:4" x14ac:dyDescent="0.3">
      <c r="A28" s="15"/>
      <c r="B28" s="6" t="s">
        <v>47</v>
      </c>
      <c r="C28" s="14"/>
      <c r="D28" s="14"/>
    </row>
    <row r="29" spans="1:4" x14ac:dyDescent="0.3">
      <c r="A29" s="15"/>
      <c r="B29" s="6" t="s">
        <v>47</v>
      </c>
      <c r="C29" s="14"/>
      <c r="D29" s="14"/>
    </row>
    <row r="30" spans="1:4" x14ac:dyDescent="0.3">
      <c r="A30" s="15"/>
      <c r="B30" s="6" t="s">
        <v>47</v>
      </c>
      <c r="C30" s="14"/>
      <c r="D30" s="14"/>
    </row>
    <row r="31" spans="1:4" x14ac:dyDescent="0.3">
      <c r="A31" s="15"/>
      <c r="B31" s="15"/>
      <c r="C31" s="15"/>
      <c r="D31" s="15"/>
    </row>
    <row r="32" spans="1:4" x14ac:dyDescent="0.3">
      <c r="A32" s="15"/>
      <c r="B32" s="15"/>
      <c r="C32" s="15"/>
      <c r="D32" s="15"/>
    </row>
    <row r="33" spans="1:4" x14ac:dyDescent="0.3">
      <c r="A33" s="15"/>
      <c r="B33" s="15"/>
      <c r="C33" s="15"/>
      <c r="D33" s="15"/>
    </row>
    <row r="34" spans="1:4" x14ac:dyDescent="0.3">
      <c r="A34" s="15"/>
      <c r="B34" s="15"/>
      <c r="C34" s="16" t="s">
        <v>48</v>
      </c>
      <c r="D34" s="15"/>
    </row>
    <row r="35" spans="1:4" x14ac:dyDescent="0.3">
      <c r="A35" s="15"/>
      <c r="B35" s="15"/>
      <c r="C35" s="13" t="s">
        <v>49</v>
      </c>
      <c r="D35" s="15"/>
    </row>
    <row r="36" spans="1:4" x14ac:dyDescent="0.3">
      <c r="A36" s="15"/>
      <c r="B36" s="15"/>
      <c r="C36" s="13">
        <v>21</v>
      </c>
      <c r="D36" s="15"/>
    </row>
    <row r="45" spans="1:4" ht="16.5" customHeight="1" x14ac:dyDescent="0.3">
      <c r="B45" s="154" t="s">
        <v>50</v>
      </c>
      <c r="C45" s="154"/>
      <c r="D45" s="154"/>
    </row>
    <row r="46" spans="1:4" ht="16.5" customHeight="1" x14ac:dyDescent="0.3">
      <c r="B46" s="153" t="s">
        <v>51</v>
      </c>
      <c r="C46" s="153"/>
      <c r="D46" s="121">
        <v>4.7300000000000002E-2</v>
      </c>
    </row>
    <row r="47" spans="1:4" ht="16.5" customHeight="1" x14ac:dyDescent="0.3">
      <c r="B47" s="153" t="s">
        <v>52</v>
      </c>
      <c r="C47" s="153"/>
      <c r="D47" s="121">
        <v>5.57E-2</v>
      </c>
    </row>
    <row r="48" spans="1:4" ht="16.5" customHeight="1" x14ac:dyDescent="0.3">
      <c r="B48" s="153" t="s">
        <v>53</v>
      </c>
      <c r="C48" s="153"/>
      <c r="D48" s="18">
        <f>SUM(D46:D47)</f>
        <v>0.10300000000000001</v>
      </c>
    </row>
    <row r="49" spans="2:4" x14ac:dyDescent="0.3">
      <c r="B49" s="19"/>
      <c r="C49" s="19"/>
    </row>
    <row r="50" spans="2:4" x14ac:dyDescent="0.3">
      <c r="B50" s="19"/>
      <c r="C50" s="19"/>
      <c r="D50" s="20"/>
    </row>
    <row r="51" spans="2:4" x14ac:dyDescent="0.3">
      <c r="C51" s="21"/>
      <c r="D51" s="21"/>
    </row>
    <row r="52" spans="2:4" ht="16.5" customHeight="1" x14ac:dyDescent="0.3">
      <c r="B52" s="154" t="s">
        <v>54</v>
      </c>
      <c r="C52" s="154"/>
      <c r="D52" s="154"/>
    </row>
    <row r="53" spans="2:4" ht="16.5" customHeight="1" x14ac:dyDescent="0.3">
      <c r="B53" s="153" t="s">
        <v>55</v>
      </c>
      <c r="C53" s="153"/>
      <c r="D53" s="17">
        <v>6.4999999999999997E-3</v>
      </c>
    </row>
    <row r="54" spans="2:4" ht="16.5" customHeight="1" x14ac:dyDescent="0.3">
      <c r="B54" s="153" t="s">
        <v>56</v>
      </c>
      <c r="C54" s="153"/>
      <c r="D54" s="17">
        <v>0.03</v>
      </c>
    </row>
    <row r="55" spans="2:4" ht="16.5" customHeight="1" x14ac:dyDescent="0.3">
      <c r="B55" s="153" t="s">
        <v>57</v>
      </c>
      <c r="C55" s="153"/>
      <c r="D55" s="17">
        <v>0.05</v>
      </c>
    </row>
    <row r="56" spans="2:4" ht="16.5" customHeight="1" x14ac:dyDescent="0.3">
      <c r="B56" s="153" t="s">
        <v>53</v>
      </c>
      <c r="C56" s="153"/>
      <c r="D56" s="18">
        <f>SUM(D53:D55)</f>
        <v>8.6499999999999994E-2</v>
      </c>
    </row>
  </sheetData>
  <mergeCells count="11">
    <mergeCell ref="A1:D1"/>
    <mergeCell ref="A2:B2"/>
    <mergeCell ref="B45:D45"/>
    <mergeCell ref="B46:C46"/>
    <mergeCell ref="B47:C47"/>
    <mergeCell ref="B56:C56"/>
    <mergeCell ref="B48:C48"/>
    <mergeCell ref="B52:D52"/>
    <mergeCell ref="B53:C53"/>
    <mergeCell ref="B54:C54"/>
    <mergeCell ref="B55:C55"/>
  </mergeCells>
  <pageMargins left="0.7" right="0.7"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8"/>
  <sheetViews>
    <sheetView zoomScale="80" zoomScaleNormal="80" workbookViewId="0">
      <selection activeCell="G15" sqref="G15"/>
    </sheetView>
  </sheetViews>
  <sheetFormatPr defaultColWidth="8.6640625" defaultRowHeight="14.4" x14ac:dyDescent="0.3"/>
  <cols>
    <col min="2" max="2" width="38.5546875" customWidth="1"/>
    <col min="3" max="3" width="20.109375" customWidth="1"/>
    <col min="4" max="4" width="21.44140625" customWidth="1"/>
    <col min="5" max="5" width="20.109375" customWidth="1"/>
    <col min="6" max="9" width="19.5546875" customWidth="1"/>
    <col min="10" max="10" width="14.5546875" customWidth="1"/>
    <col min="11" max="11" width="17.5546875" customWidth="1"/>
  </cols>
  <sheetData>
    <row r="1" spans="1:11" x14ac:dyDescent="0.3">
      <c r="A1" s="152" t="s">
        <v>58</v>
      </c>
      <c r="B1" s="152"/>
      <c r="C1" s="152"/>
      <c r="D1" s="152"/>
      <c r="E1" s="152"/>
      <c r="F1" s="152"/>
      <c r="G1" s="152"/>
      <c r="H1" s="152"/>
      <c r="I1" s="152"/>
      <c r="J1" s="152"/>
      <c r="K1" s="152"/>
    </row>
    <row r="2" spans="1:11" s="22" customFormat="1" ht="30" customHeight="1" x14ac:dyDescent="0.3">
      <c r="A2" s="2" t="s">
        <v>1</v>
      </c>
      <c r="B2" s="8" t="s">
        <v>59</v>
      </c>
      <c r="C2" s="2" t="s">
        <v>60</v>
      </c>
      <c r="D2" s="2" t="s">
        <v>61</v>
      </c>
      <c r="E2" s="2" t="s">
        <v>62</v>
      </c>
      <c r="F2" s="2" t="s">
        <v>63</v>
      </c>
      <c r="G2" s="2" t="s">
        <v>64</v>
      </c>
      <c r="H2" s="2" t="s">
        <v>65</v>
      </c>
      <c r="I2" s="13" t="s">
        <v>66</v>
      </c>
      <c r="J2" s="2" t="s">
        <v>67</v>
      </c>
      <c r="K2" s="2" t="s">
        <v>68</v>
      </c>
    </row>
    <row r="3" spans="1:11" s="22" customFormat="1" ht="19.5" customHeight="1" x14ac:dyDescent="0.3">
      <c r="A3" s="2">
        <v>1</v>
      </c>
      <c r="B3" s="8" t="s">
        <v>69</v>
      </c>
      <c r="C3" s="2" t="s">
        <v>70</v>
      </c>
      <c r="D3" s="2"/>
      <c r="E3" s="2">
        <v>2</v>
      </c>
      <c r="F3" s="122">
        <v>133.57</v>
      </c>
      <c r="G3" s="23">
        <f>TRUNC((F3*'Salários.VA.VT.QteDias.LDI.T'!D48),2)</f>
        <v>13.75</v>
      </c>
      <c r="H3" s="23">
        <f>TRUNC((((F3+G3)/(1-'Salários.VA.VT.QteDias.LDI.T'!D56))*'Salários.VA.VT.QteDias.LDI.T'!D56),2)</f>
        <v>13.94</v>
      </c>
      <c r="I3" s="23">
        <f>TRUNC((F3+G3+H3),2)</f>
        <v>161.26</v>
      </c>
      <c r="J3" s="23"/>
      <c r="K3" s="192">
        <f>TRUNC((E3*I3),2)</f>
        <v>322.52</v>
      </c>
    </row>
    <row r="4" spans="1:11" s="11" customFormat="1" ht="19.5" customHeight="1" x14ac:dyDescent="0.3">
      <c r="A4" s="24"/>
      <c r="B4" s="24"/>
      <c r="C4" s="24"/>
      <c r="D4" s="24"/>
      <c r="E4" s="24"/>
      <c r="F4" s="24"/>
      <c r="G4" s="24"/>
      <c r="H4" s="24"/>
      <c r="I4" s="24"/>
      <c r="J4" s="24"/>
      <c r="K4" s="24"/>
    </row>
    <row r="5" spans="1:11" s="11" customFormat="1" ht="19.5" customHeight="1" x14ac:dyDescent="0.3">
      <c r="A5" s="24"/>
      <c r="B5" s="24"/>
      <c r="C5" s="24"/>
      <c r="D5" s="24"/>
      <c r="E5" s="24"/>
      <c r="F5" s="24"/>
      <c r="G5" s="24"/>
      <c r="H5" s="24"/>
      <c r="I5" s="24"/>
      <c r="J5" s="24"/>
      <c r="K5" s="24"/>
    </row>
    <row r="6" spans="1:11" s="11" customFormat="1" ht="19.5" customHeight="1" x14ac:dyDescent="0.3">
      <c r="A6" s="24"/>
      <c r="B6" s="24"/>
      <c r="C6" s="24"/>
      <c r="D6" s="24"/>
      <c r="E6" s="24"/>
      <c r="F6" s="24"/>
      <c r="G6" s="24"/>
      <c r="H6" s="24"/>
      <c r="I6" s="24"/>
      <c r="J6" s="24"/>
      <c r="K6" s="24"/>
    </row>
    <row r="7" spans="1:11" s="11" customFormat="1" ht="19.5" customHeight="1" x14ac:dyDescent="0.3">
      <c r="A7" s="24"/>
      <c r="B7" s="24"/>
      <c r="C7" s="24"/>
      <c r="D7" s="24"/>
      <c r="E7" s="24"/>
      <c r="F7" s="24"/>
      <c r="G7" s="24"/>
      <c r="H7" s="24"/>
      <c r="I7" s="24"/>
      <c r="J7" s="24"/>
      <c r="K7" s="24"/>
    </row>
    <row r="8" spans="1:11" x14ac:dyDescent="0.3">
      <c r="A8" s="25"/>
      <c r="B8" s="25"/>
      <c r="C8" s="25"/>
      <c r="D8" s="25"/>
      <c r="E8" s="25"/>
      <c r="F8" s="25"/>
      <c r="G8" s="25"/>
      <c r="H8" s="25"/>
      <c r="I8" s="25"/>
      <c r="J8" s="25"/>
      <c r="K8" s="25"/>
    </row>
  </sheetData>
  <sheetProtection sheet="1" objects="1" scenarios="1"/>
  <protectedRanges>
    <protectedRange sqref="F3" name="Intervalo1"/>
  </protectedRanges>
  <mergeCells count="1">
    <mergeCell ref="A1:K1"/>
  </mergeCells>
  <pageMargins left="0.7" right="0.7" top="0.75" bottom="0.75"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4"/>
  <sheetViews>
    <sheetView zoomScale="90" zoomScaleNormal="90" workbookViewId="0">
      <selection activeCell="D6" sqref="D6"/>
    </sheetView>
  </sheetViews>
  <sheetFormatPr defaultColWidth="8.6640625" defaultRowHeight="14.4" x14ac:dyDescent="0.3"/>
  <cols>
    <col min="2" max="2" width="36.6640625" customWidth="1"/>
    <col min="3" max="8" width="18.5546875" customWidth="1"/>
    <col min="9" max="9" width="18.33203125" customWidth="1"/>
    <col min="10" max="11" width="18.6640625" customWidth="1"/>
  </cols>
  <sheetData>
    <row r="1" spans="1:11" x14ac:dyDescent="0.3">
      <c r="A1" s="152" t="s">
        <v>71</v>
      </c>
      <c r="B1" s="152"/>
      <c r="C1" s="152"/>
      <c r="D1" s="152"/>
      <c r="E1" s="152"/>
      <c r="F1" s="152"/>
      <c r="G1" s="152"/>
      <c r="H1" s="152"/>
      <c r="I1" s="152"/>
      <c r="J1" s="152"/>
      <c r="K1" s="152"/>
    </row>
    <row r="2" spans="1:11" s="22" customFormat="1" ht="30" customHeight="1" x14ac:dyDescent="0.3">
      <c r="A2" s="2" t="s">
        <v>1</v>
      </c>
      <c r="B2" s="26" t="s">
        <v>59</v>
      </c>
      <c r="C2" s="13" t="s">
        <v>72</v>
      </c>
      <c r="D2" s="13" t="s">
        <v>63</v>
      </c>
      <c r="E2" s="13" t="s">
        <v>64</v>
      </c>
      <c r="F2" s="13" t="s">
        <v>65</v>
      </c>
      <c r="G2" s="13" t="s">
        <v>66</v>
      </c>
      <c r="H2" s="13" t="s">
        <v>61</v>
      </c>
      <c r="I2" s="13" t="s">
        <v>62</v>
      </c>
      <c r="J2" s="13" t="s">
        <v>73</v>
      </c>
      <c r="K2" s="13" t="s">
        <v>74</v>
      </c>
    </row>
    <row r="3" spans="1:11" s="29" customFormat="1" ht="19.5" customHeight="1" x14ac:dyDescent="0.3">
      <c r="A3" s="3">
        <v>1</v>
      </c>
      <c r="B3" s="27" t="s">
        <v>75</v>
      </c>
      <c r="C3" s="3" t="s">
        <v>76</v>
      </c>
      <c r="D3" s="123">
        <v>6.19</v>
      </c>
      <c r="E3" s="28">
        <f>TRUNC((D3*'Salários.VA.VT.QteDias.LDI.T'!$D$48),2)</f>
        <v>0.63</v>
      </c>
      <c r="F3" s="28">
        <f>TRUNC((((D3+E3)/(1-'Salários.VA.VT.QteDias.LDI.T'!$D$56))*'Salários.VA.VT.QteDias.LDI.T'!$D$56),2)</f>
        <v>0.64</v>
      </c>
      <c r="G3" s="28">
        <f t="shared" ref="G3:G8" si="0">TRUNC((D3+E3+F3),2)</f>
        <v>7.46</v>
      </c>
      <c r="H3" s="7">
        <v>2</v>
      </c>
      <c r="I3" s="7">
        <f t="shared" ref="I3:I9" si="1">H3*12</f>
        <v>24</v>
      </c>
      <c r="J3" s="28">
        <f t="shared" ref="J3:J8" si="2">TRUNC((G3*H3),2)</f>
        <v>14.92</v>
      </c>
      <c r="K3" s="28">
        <f t="shared" ref="K3:K8" si="3">TRUNC((J3*12),2)</f>
        <v>179.04</v>
      </c>
    </row>
    <row r="4" spans="1:11" s="29" customFormat="1" ht="19.5" customHeight="1" x14ac:dyDescent="0.3">
      <c r="A4" s="3">
        <v>2</v>
      </c>
      <c r="B4" s="27" t="s">
        <v>77</v>
      </c>
      <c r="C4" s="3" t="s">
        <v>78</v>
      </c>
      <c r="D4" s="123">
        <v>10.47</v>
      </c>
      <c r="E4" s="28">
        <f>TRUNC((D4*'Salários.VA.VT.QteDias.LDI.T'!$D$48),2)</f>
        <v>1.07</v>
      </c>
      <c r="F4" s="28">
        <f>TRUNC((((D4+E4)/(1-'Salários.VA.VT.QteDias.LDI.T'!$D$56))*'Salários.VA.VT.QteDias.LDI.T'!$D$56),2)</f>
        <v>1.0900000000000001</v>
      </c>
      <c r="G4" s="28">
        <f t="shared" si="0"/>
        <v>12.63</v>
      </c>
      <c r="H4" s="7">
        <v>0</v>
      </c>
      <c r="I4" s="7">
        <f t="shared" si="1"/>
        <v>0</v>
      </c>
      <c r="J4" s="28">
        <f t="shared" si="2"/>
        <v>0</v>
      </c>
      <c r="K4" s="28">
        <f t="shared" si="3"/>
        <v>0</v>
      </c>
    </row>
    <row r="5" spans="1:11" s="29" customFormat="1" ht="19.5" customHeight="1" x14ac:dyDescent="0.3">
      <c r="A5" s="3">
        <v>3</v>
      </c>
      <c r="B5" s="27" t="s">
        <v>79</v>
      </c>
      <c r="C5" s="3" t="s">
        <v>80</v>
      </c>
      <c r="D5" s="123">
        <v>17.28</v>
      </c>
      <c r="E5" s="28">
        <f>TRUNC((D5*'Salários.VA.VT.QteDias.LDI.T'!$D$48),2)</f>
        <v>1.77</v>
      </c>
      <c r="F5" s="28">
        <f>TRUNC((((D5+E5)/(1-'Salários.VA.VT.QteDias.LDI.T'!$D$56))*'Salários.VA.VT.QteDias.LDI.T'!$D$56),2)</f>
        <v>1.8</v>
      </c>
      <c r="G5" s="28">
        <f t="shared" si="0"/>
        <v>20.85</v>
      </c>
      <c r="H5" s="7">
        <v>4</v>
      </c>
      <c r="I5" s="7">
        <f t="shared" si="1"/>
        <v>48</v>
      </c>
      <c r="J5" s="28">
        <f t="shared" si="2"/>
        <v>83.4</v>
      </c>
      <c r="K5" s="28">
        <f t="shared" si="3"/>
        <v>1000.8</v>
      </c>
    </row>
    <row r="6" spans="1:11" s="29" customFormat="1" ht="19.5" customHeight="1" x14ac:dyDescent="0.3">
      <c r="A6" s="3">
        <v>4</v>
      </c>
      <c r="B6" s="27" t="s">
        <v>81</v>
      </c>
      <c r="C6" s="3" t="s">
        <v>82</v>
      </c>
      <c r="D6" s="123">
        <v>12.19</v>
      </c>
      <c r="E6" s="28">
        <f>TRUNC((D6*'Salários.VA.VT.QteDias.LDI.T'!$D$48),2)</f>
        <v>1.25</v>
      </c>
      <c r="F6" s="28">
        <f>TRUNC((((D6+E6)/(1-'Salários.VA.VT.QteDias.LDI.T'!$D$56))*'Salários.VA.VT.QteDias.LDI.T'!$D$56),2)</f>
        <v>1.27</v>
      </c>
      <c r="G6" s="28">
        <f t="shared" si="0"/>
        <v>14.71</v>
      </c>
      <c r="H6" s="7">
        <v>2</v>
      </c>
      <c r="I6" s="7">
        <f t="shared" si="1"/>
        <v>24</v>
      </c>
      <c r="J6" s="28">
        <f t="shared" si="2"/>
        <v>29.42</v>
      </c>
      <c r="K6" s="28">
        <f t="shared" si="3"/>
        <v>353.04</v>
      </c>
    </row>
    <row r="7" spans="1:11" s="29" customFormat="1" ht="19.5" customHeight="1" x14ac:dyDescent="0.3">
      <c r="A7" s="3">
        <v>5</v>
      </c>
      <c r="B7" s="27" t="s">
        <v>83</v>
      </c>
      <c r="C7" s="3" t="s">
        <v>84</v>
      </c>
      <c r="D7" s="123">
        <v>6.19</v>
      </c>
      <c r="E7" s="28">
        <f>TRUNC((D7*'Salários.VA.VT.QteDias.LDI.T'!$D$48),2)</f>
        <v>0.63</v>
      </c>
      <c r="F7" s="28">
        <f>TRUNC((((D7+E7)/(1-'Salários.VA.VT.QteDias.LDI.T'!$D$56))*'Salários.VA.VT.QteDias.LDI.T'!$D$56),2)</f>
        <v>0.64</v>
      </c>
      <c r="G7" s="28">
        <f t="shared" si="0"/>
        <v>7.46</v>
      </c>
      <c r="H7" s="7">
        <v>0</v>
      </c>
      <c r="I7" s="7">
        <f t="shared" si="1"/>
        <v>0</v>
      </c>
      <c r="J7" s="28">
        <f t="shared" si="2"/>
        <v>0</v>
      </c>
      <c r="K7" s="28">
        <f t="shared" si="3"/>
        <v>0</v>
      </c>
    </row>
    <row r="8" spans="1:11" s="29" customFormat="1" ht="19.5" customHeight="1" x14ac:dyDescent="0.3">
      <c r="A8" s="3">
        <v>6</v>
      </c>
      <c r="B8" s="30" t="s">
        <v>85</v>
      </c>
      <c r="C8" s="7" t="s">
        <v>86</v>
      </c>
      <c r="D8" s="123">
        <v>10.49</v>
      </c>
      <c r="E8" s="28">
        <f>TRUNC((D8*'Salários.VA.VT.QteDias.LDI.T'!$D$48),2)</f>
        <v>1.08</v>
      </c>
      <c r="F8" s="28">
        <f>TRUNC((((D8+E8)/(1-'Salários.VA.VT.QteDias.LDI.T'!$D$56))*'Salários.VA.VT.QteDias.LDI.T'!$D$56),2)</f>
        <v>1.0900000000000001</v>
      </c>
      <c r="G8" s="28">
        <f t="shared" si="0"/>
        <v>12.66</v>
      </c>
      <c r="H8" s="7">
        <v>6</v>
      </c>
      <c r="I8" s="7">
        <f t="shared" si="1"/>
        <v>72</v>
      </c>
      <c r="J8" s="28">
        <f t="shared" si="2"/>
        <v>75.959999999999994</v>
      </c>
      <c r="K8" s="28">
        <f t="shared" si="3"/>
        <v>911.52</v>
      </c>
    </row>
    <row r="9" spans="1:11" s="29" customFormat="1" ht="19.5" customHeight="1" x14ac:dyDescent="0.3">
      <c r="A9" s="3">
        <v>7</v>
      </c>
      <c r="B9" s="31"/>
      <c r="C9" s="7"/>
      <c r="D9" s="28"/>
      <c r="E9" s="28"/>
      <c r="F9" s="28"/>
      <c r="G9" s="28"/>
      <c r="H9" s="7"/>
      <c r="I9" s="7">
        <f t="shared" si="1"/>
        <v>0</v>
      </c>
      <c r="J9" s="28">
        <f>D9*H9</f>
        <v>0</v>
      </c>
      <c r="K9" s="28">
        <f>J9*12</f>
        <v>0</v>
      </c>
    </row>
    <row r="10" spans="1:11" s="29" customFormat="1" ht="19.5" customHeight="1" x14ac:dyDescent="0.3">
      <c r="A10" s="3">
        <v>8</v>
      </c>
      <c r="B10" s="141" t="s">
        <v>87</v>
      </c>
      <c r="C10" s="141"/>
      <c r="D10" s="141"/>
      <c r="E10" s="141"/>
      <c r="F10" s="141"/>
      <c r="G10" s="141"/>
      <c r="H10" s="141"/>
      <c r="I10" s="141"/>
      <c r="J10" s="14">
        <f>SUM(J3:J9)</f>
        <v>203.7</v>
      </c>
      <c r="K10" s="14">
        <f>TRUNC(SUM(K3:K9),2)</f>
        <v>2444.4</v>
      </c>
    </row>
    <row r="11" spans="1:11" s="29" customFormat="1" ht="19.5" customHeight="1" x14ac:dyDescent="0.3">
      <c r="A11" s="24"/>
      <c r="B11" s="24"/>
      <c r="C11" s="24"/>
      <c r="D11" s="24"/>
      <c r="E11" s="24"/>
      <c r="F11" s="24"/>
      <c r="G11" s="24"/>
      <c r="H11" s="24"/>
      <c r="I11" s="24"/>
      <c r="J11" s="24"/>
      <c r="K11" s="24"/>
    </row>
    <row r="12" spans="1:11" s="29" customFormat="1" ht="19.5" customHeight="1" x14ac:dyDescent="0.3">
      <c r="A12" s="24"/>
      <c r="B12" s="24"/>
      <c r="C12" s="24"/>
      <c r="D12" s="24"/>
      <c r="E12" s="24"/>
      <c r="F12" s="24"/>
      <c r="G12" s="24"/>
      <c r="H12" s="24"/>
      <c r="I12" s="24"/>
      <c r="J12" s="24"/>
      <c r="K12" s="24"/>
    </row>
    <row r="13" spans="1:11" s="29" customFormat="1" ht="19.5" customHeight="1" x14ac:dyDescent="0.3">
      <c r="A13" s="24"/>
      <c r="B13" s="24"/>
      <c r="C13" s="24"/>
      <c r="D13" s="24"/>
      <c r="E13" s="24"/>
      <c r="F13" s="24"/>
      <c r="G13" s="24"/>
      <c r="H13" s="24"/>
      <c r="I13" s="24"/>
      <c r="J13" s="24"/>
      <c r="K13" s="24"/>
    </row>
    <row r="14" spans="1:11" x14ac:dyDescent="0.3">
      <c r="A14" s="25"/>
      <c r="B14" s="25"/>
      <c r="C14" s="25"/>
      <c r="D14" s="25"/>
      <c r="E14" s="25"/>
      <c r="F14" s="25"/>
      <c r="G14" s="25"/>
      <c r="H14" s="25"/>
      <c r="I14" s="25"/>
      <c r="J14" s="25"/>
      <c r="K14" s="25"/>
    </row>
  </sheetData>
  <sheetProtection sheet="1" objects="1" scenarios="1"/>
  <protectedRanges>
    <protectedRange sqref="D3:D8" name="Intervalo1"/>
  </protectedRanges>
  <mergeCells count="2">
    <mergeCell ref="A1:K1"/>
    <mergeCell ref="B10:I10"/>
  </mergeCells>
  <pageMargins left="0.7" right="0.7" top="0.75" bottom="0.75"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2"/>
  <sheetViews>
    <sheetView zoomScaleNormal="100" workbookViewId="0">
      <selection activeCell="D3" sqref="D3"/>
    </sheetView>
  </sheetViews>
  <sheetFormatPr defaultColWidth="8.6640625" defaultRowHeight="14.4" x14ac:dyDescent="0.3"/>
  <cols>
    <col min="2" max="2" width="40.6640625" customWidth="1"/>
    <col min="3" max="3" width="49.88671875" customWidth="1"/>
    <col min="4" max="4" width="17.109375" customWidth="1"/>
    <col min="5" max="5" width="19.33203125" customWidth="1"/>
    <col min="6" max="6" width="23.6640625" customWidth="1"/>
    <col min="7" max="7" width="21.109375" customWidth="1"/>
  </cols>
  <sheetData>
    <row r="1" spans="1:7" s="11" customFormat="1" ht="19.5" customHeight="1" x14ac:dyDescent="0.3">
      <c r="A1" s="152" t="s">
        <v>88</v>
      </c>
      <c r="B1" s="152"/>
      <c r="C1" s="152"/>
      <c r="D1" s="152"/>
      <c r="E1" s="152"/>
      <c r="F1" s="152"/>
      <c r="G1" s="152"/>
    </row>
    <row r="2" spans="1:7" s="11" customFormat="1" ht="19.5" customHeight="1" x14ac:dyDescent="0.3">
      <c r="A2" s="32" t="s">
        <v>1</v>
      </c>
      <c r="B2" s="32" t="s">
        <v>89</v>
      </c>
      <c r="C2" s="32" t="s">
        <v>72</v>
      </c>
      <c r="D2" s="32" t="s">
        <v>90</v>
      </c>
      <c r="E2" s="32" t="s">
        <v>62</v>
      </c>
      <c r="F2" s="32" t="s">
        <v>91</v>
      </c>
      <c r="G2" s="32" t="s">
        <v>74</v>
      </c>
    </row>
    <row r="3" spans="1:7" s="11" customFormat="1" ht="19.5" customHeight="1" x14ac:dyDescent="0.3">
      <c r="A3" s="3">
        <f t="shared" ref="A3:A17" si="0">ROW()-2</f>
        <v>1</v>
      </c>
      <c r="B3" s="33" t="s">
        <v>92</v>
      </c>
      <c r="C3" s="7" t="s">
        <v>93</v>
      </c>
      <c r="D3" s="123">
        <v>7.58</v>
      </c>
      <c r="E3" s="7">
        <v>12</v>
      </c>
      <c r="F3" s="7"/>
      <c r="G3" s="28">
        <f t="shared" ref="G3:G14" si="1">D3*E3</f>
        <v>90.960000000000008</v>
      </c>
    </row>
    <row r="4" spans="1:7" s="11" customFormat="1" ht="19.5" customHeight="1" x14ac:dyDescent="0.3">
      <c r="A4" s="3">
        <f t="shared" si="0"/>
        <v>2</v>
      </c>
      <c r="B4" s="33" t="s">
        <v>94</v>
      </c>
      <c r="C4" s="7" t="s">
        <v>93</v>
      </c>
      <c r="D4" s="123">
        <v>2.0499999999999998</v>
      </c>
      <c r="E4" s="7">
        <v>12</v>
      </c>
      <c r="F4" s="7"/>
      <c r="G4" s="28">
        <f t="shared" si="1"/>
        <v>24.599999999999998</v>
      </c>
    </row>
    <row r="5" spans="1:7" s="11" customFormat="1" ht="19.5" customHeight="1" x14ac:dyDescent="0.3">
      <c r="A5" s="3">
        <f t="shared" si="0"/>
        <v>3</v>
      </c>
      <c r="B5" s="33" t="s">
        <v>95</v>
      </c>
      <c r="C5" s="7" t="s">
        <v>96</v>
      </c>
      <c r="D5" s="123">
        <v>1.66</v>
      </c>
      <c r="E5" s="7">
        <v>12</v>
      </c>
      <c r="F5" s="7"/>
      <c r="G5" s="28">
        <f t="shared" si="1"/>
        <v>19.919999999999998</v>
      </c>
    </row>
    <row r="6" spans="1:7" s="11" customFormat="1" ht="19.5" customHeight="1" x14ac:dyDescent="0.3">
      <c r="A6" s="3">
        <f t="shared" si="0"/>
        <v>4</v>
      </c>
      <c r="B6" s="33" t="s">
        <v>97</v>
      </c>
      <c r="C6" s="7" t="s">
        <v>93</v>
      </c>
      <c r="D6" s="123">
        <v>4.04</v>
      </c>
      <c r="E6" s="34">
        <v>6</v>
      </c>
      <c r="F6" s="7"/>
      <c r="G6" s="28">
        <f t="shared" si="1"/>
        <v>24.240000000000002</v>
      </c>
    </row>
    <row r="7" spans="1:7" s="11" customFormat="1" ht="19.5" customHeight="1" x14ac:dyDescent="0.3">
      <c r="A7" s="3">
        <f t="shared" si="0"/>
        <v>5</v>
      </c>
      <c r="B7" s="33" t="s">
        <v>98</v>
      </c>
      <c r="C7" s="7" t="s">
        <v>99</v>
      </c>
      <c r="D7" s="123">
        <v>3.36</v>
      </c>
      <c r="E7" s="7">
        <v>3</v>
      </c>
      <c r="F7" s="7"/>
      <c r="G7" s="28">
        <f t="shared" si="1"/>
        <v>10.08</v>
      </c>
    </row>
    <row r="8" spans="1:7" s="11" customFormat="1" ht="19.5" customHeight="1" x14ac:dyDescent="0.3">
      <c r="A8" s="3">
        <f t="shared" si="0"/>
        <v>6</v>
      </c>
      <c r="B8" s="33" t="s">
        <v>100</v>
      </c>
      <c r="C8" s="7" t="s">
        <v>96</v>
      </c>
      <c r="D8" s="123">
        <v>4.4000000000000004</v>
      </c>
      <c r="E8" s="7">
        <v>4</v>
      </c>
      <c r="F8" s="7"/>
      <c r="G8" s="28">
        <f t="shared" si="1"/>
        <v>17.600000000000001</v>
      </c>
    </row>
    <row r="9" spans="1:7" s="11" customFormat="1" ht="19.5" customHeight="1" x14ac:dyDescent="0.3">
      <c r="A9" s="3">
        <f t="shared" si="0"/>
        <v>7</v>
      </c>
      <c r="B9" s="33" t="s">
        <v>101</v>
      </c>
      <c r="C9" s="7" t="s">
        <v>96</v>
      </c>
      <c r="D9" s="123">
        <v>2.7</v>
      </c>
      <c r="E9" s="35">
        <v>4</v>
      </c>
      <c r="F9" s="7"/>
      <c r="G9" s="28">
        <f t="shared" si="1"/>
        <v>10.8</v>
      </c>
    </row>
    <row r="10" spans="1:7" s="11" customFormat="1" ht="19.5" customHeight="1" x14ac:dyDescent="0.3">
      <c r="A10" s="3">
        <f t="shared" si="0"/>
        <v>8</v>
      </c>
      <c r="B10" s="33" t="s">
        <v>102</v>
      </c>
      <c r="C10" s="7" t="s">
        <v>103</v>
      </c>
      <c r="D10" s="123">
        <v>3.14</v>
      </c>
      <c r="E10" s="7">
        <v>12</v>
      </c>
      <c r="F10" s="7"/>
      <c r="G10" s="28">
        <f t="shared" si="1"/>
        <v>37.68</v>
      </c>
    </row>
    <row r="11" spans="1:7" s="11" customFormat="1" ht="19.5" customHeight="1" x14ac:dyDescent="0.3">
      <c r="A11" s="3">
        <f t="shared" si="0"/>
        <v>9</v>
      </c>
      <c r="B11" s="33" t="s">
        <v>104</v>
      </c>
      <c r="C11" s="7" t="s">
        <v>103</v>
      </c>
      <c r="D11" s="123">
        <v>3.77</v>
      </c>
      <c r="E11" s="36">
        <v>12</v>
      </c>
      <c r="F11" s="7"/>
      <c r="G11" s="28">
        <f t="shared" si="1"/>
        <v>45.24</v>
      </c>
    </row>
    <row r="12" spans="1:7" s="11" customFormat="1" ht="19.5" customHeight="1" x14ac:dyDescent="0.3">
      <c r="A12" s="3">
        <f t="shared" si="0"/>
        <v>10</v>
      </c>
      <c r="B12" s="33" t="s">
        <v>105</v>
      </c>
      <c r="C12" s="7" t="s">
        <v>106</v>
      </c>
      <c r="D12" s="123">
        <v>4.0599999999999996</v>
      </c>
      <c r="E12" s="7">
        <v>10</v>
      </c>
      <c r="F12" s="7"/>
      <c r="G12" s="28">
        <f t="shared" si="1"/>
        <v>40.599999999999994</v>
      </c>
    </row>
    <row r="13" spans="1:7" s="11" customFormat="1" ht="19.5" customHeight="1" x14ac:dyDescent="0.3">
      <c r="A13" s="3">
        <f t="shared" si="0"/>
        <v>11</v>
      </c>
      <c r="B13" s="33" t="s">
        <v>107</v>
      </c>
      <c r="C13" s="7" t="s">
        <v>108</v>
      </c>
      <c r="D13" s="123">
        <v>20.190000000000001</v>
      </c>
      <c r="E13" s="7">
        <v>3</v>
      </c>
      <c r="F13" s="7"/>
      <c r="G13" s="28">
        <f t="shared" si="1"/>
        <v>60.570000000000007</v>
      </c>
    </row>
    <row r="14" spans="1:7" s="11" customFormat="1" ht="19.5" customHeight="1" x14ac:dyDescent="0.3">
      <c r="A14" s="3">
        <f t="shared" si="0"/>
        <v>12</v>
      </c>
      <c r="B14" s="33" t="s">
        <v>109</v>
      </c>
      <c r="C14" s="7" t="s">
        <v>110</v>
      </c>
      <c r="D14" s="123">
        <v>3.59</v>
      </c>
      <c r="E14" s="7">
        <v>4</v>
      </c>
      <c r="F14" s="7"/>
      <c r="G14" s="28">
        <f t="shared" si="1"/>
        <v>14.36</v>
      </c>
    </row>
    <row r="15" spans="1:7" s="11" customFormat="1" ht="19.5" customHeight="1" x14ac:dyDescent="0.3">
      <c r="A15" s="3">
        <f t="shared" si="0"/>
        <v>13</v>
      </c>
      <c r="B15" s="7"/>
      <c r="C15" s="7"/>
      <c r="D15" s="7"/>
      <c r="E15" s="7"/>
      <c r="F15" s="7"/>
      <c r="G15" s="7"/>
    </row>
    <row r="16" spans="1:7" s="11" customFormat="1" ht="19.5" customHeight="1" x14ac:dyDescent="0.3">
      <c r="A16" s="3">
        <f t="shared" si="0"/>
        <v>14</v>
      </c>
      <c r="B16" s="7"/>
      <c r="C16" s="7"/>
      <c r="D16" s="7"/>
      <c r="E16" s="7"/>
      <c r="F16" s="7"/>
      <c r="G16" s="7"/>
    </row>
    <row r="17" spans="1:7" s="11" customFormat="1" ht="19.5" customHeight="1" x14ac:dyDescent="0.3">
      <c r="A17" s="3">
        <f t="shared" si="0"/>
        <v>15</v>
      </c>
      <c r="B17" s="7"/>
      <c r="C17" s="7"/>
      <c r="D17" s="28">
        <f>TRUNC(SUM(D3:D14),2)</f>
        <v>60.54</v>
      </c>
      <c r="E17" s="28"/>
      <c r="F17" s="28"/>
      <c r="G17" s="28">
        <f>TRUNC(SUM(G3:G14),2)</f>
        <v>396.65</v>
      </c>
    </row>
    <row r="18" spans="1:7" s="11" customFormat="1" ht="19.5" customHeight="1" x14ac:dyDescent="0.3">
      <c r="A18" s="37"/>
      <c r="B18" s="37"/>
      <c r="C18" s="37"/>
      <c r="D18" s="37"/>
      <c r="E18" s="37"/>
      <c r="F18" s="37"/>
      <c r="G18" s="37"/>
    </row>
    <row r="19" spans="1:7" s="11" customFormat="1" ht="19.5" customHeight="1" x14ac:dyDescent="0.3">
      <c r="A19" s="37"/>
      <c r="B19" s="37"/>
      <c r="C19" s="37"/>
      <c r="D19" s="37"/>
      <c r="E19" s="141" t="s">
        <v>111</v>
      </c>
      <c r="F19" s="141"/>
      <c r="G19" s="14">
        <f>TRUNC((G17/12),2)</f>
        <v>33.049999999999997</v>
      </c>
    </row>
    <row r="20" spans="1:7" x14ac:dyDescent="0.3">
      <c r="A20" s="38"/>
      <c r="B20" s="38"/>
      <c r="C20" s="38"/>
      <c r="D20" s="38"/>
      <c r="E20" s="38"/>
      <c r="F20" s="38"/>
      <c r="G20" s="38"/>
    </row>
    <row r="21" spans="1:7" x14ac:dyDescent="0.3">
      <c r="A21" s="38"/>
      <c r="B21" s="38"/>
      <c r="C21" s="38"/>
      <c r="D21" s="38"/>
      <c r="E21" s="38"/>
      <c r="F21" s="38"/>
      <c r="G21" s="38"/>
    </row>
    <row r="22" spans="1:7" x14ac:dyDescent="0.3">
      <c r="A22" s="38"/>
      <c r="B22" s="38"/>
      <c r="C22" s="38"/>
      <c r="D22" s="38"/>
      <c r="E22" s="38"/>
      <c r="F22" s="38"/>
      <c r="G22" s="38"/>
    </row>
  </sheetData>
  <sheetProtection sheet="1" objects="1" scenarios="1"/>
  <protectedRanges>
    <protectedRange sqref="D3:D14" name="Intervalo1"/>
  </protectedRanges>
  <mergeCells count="2">
    <mergeCell ref="A1:G1"/>
    <mergeCell ref="E19:F19"/>
  </mergeCells>
  <pageMargins left="0.7" right="0.7" top="0.75" bottom="0.75"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73"/>
  <sheetViews>
    <sheetView zoomScale="80" zoomScaleNormal="80" workbookViewId="0">
      <selection activeCell="D3" sqref="D3"/>
    </sheetView>
  </sheetViews>
  <sheetFormatPr defaultColWidth="8.6640625" defaultRowHeight="14.4" x14ac:dyDescent="0.3"/>
  <cols>
    <col min="2" max="2" width="63.88671875" customWidth="1"/>
    <col min="3" max="7" width="17.109375" customWidth="1"/>
    <col min="8" max="8" width="19.33203125" customWidth="1"/>
    <col min="9" max="9" width="20.5546875" customWidth="1"/>
    <col min="10" max="10" width="30.33203125" customWidth="1"/>
  </cols>
  <sheetData>
    <row r="1" spans="1:10" s="39" customFormat="1" ht="19.5" customHeight="1" x14ac:dyDescent="0.25">
      <c r="A1" s="152" t="s">
        <v>88</v>
      </c>
      <c r="B1" s="152"/>
      <c r="C1" s="152"/>
      <c r="D1" s="152"/>
      <c r="E1" s="152"/>
      <c r="F1" s="152"/>
      <c r="G1" s="152"/>
      <c r="H1" s="152"/>
      <c r="I1" s="152"/>
      <c r="J1" s="152"/>
    </row>
    <row r="2" spans="1:10" s="29" customFormat="1" ht="30" customHeight="1" x14ac:dyDescent="0.3">
      <c r="A2" s="32" t="s">
        <v>1</v>
      </c>
      <c r="B2" s="32" t="s">
        <v>89</v>
      </c>
      <c r="C2" s="32" t="s">
        <v>72</v>
      </c>
      <c r="D2" s="13" t="s">
        <v>63</v>
      </c>
      <c r="E2" s="13" t="s">
        <v>64</v>
      </c>
      <c r="F2" s="13" t="s">
        <v>65</v>
      </c>
      <c r="G2" s="13" t="s">
        <v>66</v>
      </c>
      <c r="H2" s="32" t="s">
        <v>112</v>
      </c>
      <c r="I2" s="32" t="s">
        <v>62</v>
      </c>
      <c r="J2" s="32" t="s">
        <v>113</v>
      </c>
    </row>
    <row r="3" spans="1:10" s="39" customFormat="1" ht="19.5" customHeight="1" x14ac:dyDescent="0.25">
      <c r="A3" s="40">
        <v>1</v>
      </c>
      <c r="B3" s="33" t="s">
        <v>114</v>
      </c>
      <c r="C3" s="41" t="s">
        <v>96</v>
      </c>
      <c r="D3" s="124">
        <v>33.979999999999997</v>
      </c>
      <c r="E3" s="28">
        <f>TRUNC((D3*'Salários.VA.VT.QteDias.LDI.T'!$D$48),2)</f>
        <v>3.49</v>
      </c>
      <c r="F3" s="28">
        <f>TRUNC((((D3+E3)/(1-'Salários.VA.VT.QteDias.LDI.T'!$D$56))*'Salários.VA.VT.QteDias.LDI.T'!$D$56),2)</f>
        <v>3.54</v>
      </c>
      <c r="G3" s="28">
        <f t="shared" ref="G3:G34" si="0">TRUNC((D3+E3+F3),2)</f>
        <v>41.01</v>
      </c>
      <c r="H3" s="41" t="s">
        <v>115</v>
      </c>
      <c r="I3" s="41"/>
      <c r="J3" s="42">
        <f t="shared" ref="J3:J34" si="1">TRUNC((G3*I3),2)</f>
        <v>0</v>
      </c>
    </row>
    <row r="4" spans="1:10" s="29" customFormat="1" ht="19.5" customHeight="1" x14ac:dyDescent="0.2">
      <c r="A4" s="3">
        <v>2</v>
      </c>
      <c r="B4" s="33" t="s">
        <v>116</v>
      </c>
      <c r="C4" s="7" t="s">
        <v>96</v>
      </c>
      <c r="D4" s="124">
        <v>9.58</v>
      </c>
      <c r="E4" s="28">
        <f>TRUNC((D4*'Salários.VA.VT.QteDias.LDI.T'!$D$48),2)</f>
        <v>0.98</v>
      </c>
      <c r="F4" s="28">
        <f>TRUNC((((D4+E4)/(1-'Salários.VA.VT.QteDias.LDI.T'!$D$56))*'Salários.VA.VT.QteDias.LDI.T'!$D$56),2)</f>
        <v>0.99</v>
      </c>
      <c r="G4" s="28">
        <f t="shared" si="0"/>
        <v>11.55</v>
      </c>
      <c r="H4" s="7" t="s">
        <v>115</v>
      </c>
      <c r="I4" s="7"/>
      <c r="J4" s="42">
        <f t="shared" si="1"/>
        <v>0</v>
      </c>
    </row>
    <row r="5" spans="1:10" s="29" customFormat="1" ht="19.5" customHeight="1" x14ac:dyDescent="0.2">
      <c r="A5" s="3">
        <v>3</v>
      </c>
      <c r="B5" s="33" t="s">
        <v>117</v>
      </c>
      <c r="C5" s="7" t="s">
        <v>96</v>
      </c>
      <c r="D5" s="124">
        <v>58.29</v>
      </c>
      <c r="E5" s="28">
        <f>TRUNC((D5*'Salários.VA.VT.QteDias.LDI.T'!$D$48),2)</f>
        <v>6</v>
      </c>
      <c r="F5" s="28">
        <f>TRUNC((((D5+E5)/(1-'Salários.VA.VT.QteDias.LDI.T'!$D$56))*'Salários.VA.VT.QteDias.LDI.T'!$D$56),2)</f>
        <v>6.08</v>
      </c>
      <c r="G5" s="28">
        <f t="shared" si="0"/>
        <v>70.37</v>
      </c>
      <c r="H5" s="7"/>
      <c r="I5" s="7">
        <v>2</v>
      </c>
      <c r="J5" s="42">
        <f t="shared" si="1"/>
        <v>140.74</v>
      </c>
    </row>
    <row r="6" spans="1:10" s="29" customFormat="1" ht="19.5" customHeight="1" x14ac:dyDescent="0.2">
      <c r="A6" s="3">
        <v>4</v>
      </c>
      <c r="B6" s="33" t="s">
        <v>118</v>
      </c>
      <c r="C6" s="7" t="s">
        <v>96</v>
      </c>
      <c r="D6" s="124">
        <v>53.28</v>
      </c>
      <c r="E6" s="28">
        <f>TRUNC((D6*'Salários.VA.VT.QteDias.LDI.T'!$D$48),2)</f>
        <v>5.48</v>
      </c>
      <c r="F6" s="28">
        <f>TRUNC((((D6+E6)/(1-'Salários.VA.VT.QteDias.LDI.T'!$D$56))*'Salários.VA.VT.QteDias.LDI.T'!$D$56),2)</f>
        <v>5.56</v>
      </c>
      <c r="G6" s="28">
        <f t="shared" si="0"/>
        <v>64.319999999999993</v>
      </c>
      <c r="H6" s="7" t="s">
        <v>115</v>
      </c>
      <c r="I6" s="7"/>
      <c r="J6" s="42">
        <f t="shared" si="1"/>
        <v>0</v>
      </c>
    </row>
    <row r="7" spans="1:10" s="29" customFormat="1" ht="19.5" customHeight="1" x14ac:dyDescent="0.2">
      <c r="A7" s="3">
        <v>5</v>
      </c>
      <c r="B7" s="33" t="s">
        <v>119</v>
      </c>
      <c r="C7" s="7" t="s">
        <v>96</v>
      </c>
      <c r="D7" s="124">
        <v>14.53</v>
      </c>
      <c r="E7" s="28">
        <f>TRUNC((D7*'Salários.VA.VT.QteDias.LDI.T'!$D$48),2)</f>
        <v>1.49</v>
      </c>
      <c r="F7" s="28">
        <f>TRUNC((((D7+E7)/(1-'Salários.VA.VT.QteDias.LDI.T'!$D$56))*'Salários.VA.VT.QteDias.LDI.T'!$D$56),2)</f>
        <v>1.51</v>
      </c>
      <c r="G7" s="28">
        <f t="shared" si="0"/>
        <v>17.53</v>
      </c>
      <c r="H7" s="7" t="s">
        <v>115</v>
      </c>
      <c r="I7" s="7"/>
      <c r="J7" s="42">
        <f t="shared" si="1"/>
        <v>0</v>
      </c>
    </row>
    <row r="8" spans="1:10" s="29" customFormat="1" ht="19.5" customHeight="1" x14ac:dyDescent="0.2">
      <c r="A8" s="3">
        <v>6</v>
      </c>
      <c r="B8" s="33" t="s">
        <v>120</v>
      </c>
      <c r="C8" s="7" t="s">
        <v>96</v>
      </c>
      <c r="D8" s="124">
        <v>17.7</v>
      </c>
      <c r="E8" s="28">
        <f>TRUNC((D8*'Salários.VA.VT.QteDias.LDI.T'!$D$48),2)</f>
        <v>1.82</v>
      </c>
      <c r="F8" s="28">
        <f>TRUNC((((D8+E8)/(1-'Salários.VA.VT.QteDias.LDI.T'!$D$56))*'Salários.VA.VT.QteDias.LDI.T'!$D$56),2)</f>
        <v>1.84</v>
      </c>
      <c r="G8" s="28">
        <f t="shared" si="0"/>
        <v>21.36</v>
      </c>
      <c r="H8" s="35"/>
      <c r="I8" s="7">
        <v>2</v>
      </c>
      <c r="J8" s="42">
        <f t="shared" si="1"/>
        <v>42.72</v>
      </c>
    </row>
    <row r="9" spans="1:10" s="29" customFormat="1" ht="19.5" customHeight="1" x14ac:dyDescent="0.2">
      <c r="A9" s="3">
        <v>7</v>
      </c>
      <c r="B9" s="33" t="s">
        <v>121</v>
      </c>
      <c r="C9" s="7" t="s">
        <v>96</v>
      </c>
      <c r="D9" s="124">
        <v>16.93</v>
      </c>
      <c r="E9" s="28">
        <f>TRUNC((D9*'Salários.VA.VT.QteDias.LDI.T'!$D$48),2)</f>
        <v>1.74</v>
      </c>
      <c r="F9" s="28">
        <f>TRUNC((((D9+E9)/(1-'Salários.VA.VT.QteDias.LDI.T'!$D$56))*'Salários.VA.VT.QteDias.LDI.T'!$D$56),2)</f>
        <v>1.76</v>
      </c>
      <c r="G9" s="28">
        <f t="shared" si="0"/>
        <v>20.43</v>
      </c>
      <c r="H9" s="7" t="s">
        <v>115</v>
      </c>
      <c r="I9" s="31"/>
      <c r="J9" s="42">
        <f t="shared" si="1"/>
        <v>0</v>
      </c>
    </row>
    <row r="10" spans="1:10" s="29" customFormat="1" ht="19.5" customHeight="1" x14ac:dyDescent="0.2">
      <c r="A10" s="3">
        <v>8</v>
      </c>
      <c r="B10" s="33" t="s">
        <v>122</v>
      </c>
      <c r="C10" s="7" t="s">
        <v>96</v>
      </c>
      <c r="D10" s="124">
        <v>9.17</v>
      </c>
      <c r="E10" s="28">
        <f>TRUNC((D10*'Salários.VA.VT.QteDias.LDI.T'!$D$48),2)</f>
        <v>0.94</v>
      </c>
      <c r="F10" s="28">
        <f>TRUNC((((D10+E10)/(1-'Salários.VA.VT.QteDias.LDI.T'!$D$56))*'Salários.VA.VT.QteDias.LDI.T'!$D$56),2)</f>
        <v>0.95</v>
      </c>
      <c r="G10" s="28">
        <f t="shared" si="0"/>
        <v>11.06</v>
      </c>
      <c r="H10" s="36" t="s">
        <v>115</v>
      </c>
      <c r="I10" s="7"/>
      <c r="J10" s="42">
        <f t="shared" si="1"/>
        <v>0</v>
      </c>
    </row>
    <row r="11" spans="1:10" s="29" customFormat="1" ht="19.5" customHeight="1" x14ac:dyDescent="0.2">
      <c r="A11" s="3">
        <v>9</v>
      </c>
      <c r="B11" s="33" t="s">
        <v>123</v>
      </c>
      <c r="C11" s="7" t="s">
        <v>96</v>
      </c>
      <c r="D11" s="124">
        <v>9.49</v>
      </c>
      <c r="E11" s="28">
        <f>TRUNC((D11*'Salários.VA.VT.QteDias.LDI.T'!$D$48),2)</f>
        <v>0.97</v>
      </c>
      <c r="F11" s="28">
        <f>TRUNC((((D11+E11)/(1-'Salários.VA.VT.QteDias.LDI.T'!$D$56))*'Salários.VA.VT.QteDias.LDI.T'!$D$56),2)</f>
        <v>0.99</v>
      </c>
      <c r="G11" s="28">
        <f t="shared" si="0"/>
        <v>11.45</v>
      </c>
      <c r="H11" s="7" t="s">
        <v>115</v>
      </c>
      <c r="I11" s="7"/>
      <c r="J11" s="42">
        <f t="shared" si="1"/>
        <v>0</v>
      </c>
    </row>
    <row r="12" spans="1:10" s="29" customFormat="1" ht="19.5" customHeight="1" x14ac:dyDescent="0.2">
      <c r="A12" s="3">
        <v>10</v>
      </c>
      <c r="B12" s="33" t="s">
        <v>124</v>
      </c>
      <c r="C12" s="7" t="s">
        <v>96</v>
      </c>
      <c r="D12" s="124">
        <v>3.32</v>
      </c>
      <c r="E12" s="28">
        <f>TRUNC((D12*'Salários.VA.VT.QteDias.LDI.T'!$D$48),2)</f>
        <v>0.34</v>
      </c>
      <c r="F12" s="28">
        <f>TRUNC((((D12+E12)/(1-'Salários.VA.VT.QteDias.LDI.T'!$D$56))*'Salários.VA.VT.QteDias.LDI.T'!$D$56),2)</f>
        <v>0.34</v>
      </c>
      <c r="G12" s="28">
        <f t="shared" si="0"/>
        <v>4</v>
      </c>
      <c r="H12" s="7" t="s">
        <v>115</v>
      </c>
      <c r="I12" s="7"/>
      <c r="J12" s="42">
        <f t="shared" si="1"/>
        <v>0</v>
      </c>
    </row>
    <row r="13" spans="1:10" s="29" customFormat="1" ht="19.5" customHeight="1" x14ac:dyDescent="0.2">
      <c r="A13" s="3">
        <v>11</v>
      </c>
      <c r="B13" s="33" t="s">
        <v>125</v>
      </c>
      <c r="C13" s="7" t="s">
        <v>96</v>
      </c>
      <c r="D13" s="124">
        <v>2.99</v>
      </c>
      <c r="E13" s="28">
        <f>TRUNC((D13*'Salários.VA.VT.QteDias.LDI.T'!$D$48),2)</f>
        <v>0.3</v>
      </c>
      <c r="F13" s="28">
        <f>TRUNC((((D13+E13)/(1-'Salários.VA.VT.QteDias.LDI.T'!$D$56))*'Salários.VA.VT.QteDias.LDI.T'!$D$56),2)</f>
        <v>0.31</v>
      </c>
      <c r="G13" s="28">
        <f t="shared" si="0"/>
        <v>3.6</v>
      </c>
      <c r="H13" s="7"/>
      <c r="I13" s="7">
        <v>10</v>
      </c>
      <c r="J13" s="42">
        <f t="shared" si="1"/>
        <v>36</v>
      </c>
    </row>
    <row r="14" spans="1:10" s="29" customFormat="1" ht="19.5" customHeight="1" x14ac:dyDescent="0.2">
      <c r="A14" s="3">
        <v>12</v>
      </c>
      <c r="B14" s="33" t="s">
        <v>126</v>
      </c>
      <c r="C14" s="7" t="s">
        <v>96</v>
      </c>
      <c r="D14" s="124">
        <v>18.27</v>
      </c>
      <c r="E14" s="28">
        <f>TRUNC((D14*'Salários.VA.VT.QteDias.LDI.T'!$D$48),2)</f>
        <v>1.88</v>
      </c>
      <c r="F14" s="28">
        <f>TRUNC((((D14+E14)/(1-'Salários.VA.VT.QteDias.LDI.T'!$D$56))*'Salários.VA.VT.QteDias.LDI.T'!$D$56),2)</f>
        <v>1.9</v>
      </c>
      <c r="G14" s="28">
        <f t="shared" si="0"/>
        <v>22.05</v>
      </c>
      <c r="H14" s="7"/>
      <c r="I14" s="7">
        <v>1</v>
      </c>
      <c r="J14" s="42">
        <f t="shared" si="1"/>
        <v>22.05</v>
      </c>
    </row>
    <row r="15" spans="1:10" s="29" customFormat="1" ht="19.5" customHeight="1" x14ac:dyDescent="0.2">
      <c r="A15" s="3">
        <v>13</v>
      </c>
      <c r="B15" s="33" t="s">
        <v>127</v>
      </c>
      <c r="C15" s="7" t="s">
        <v>96</v>
      </c>
      <c r="D15" s="124">
        <v>2.52</v>
      </c>
      <c r="E15" s="28">
        <f>TRUNC((D15*'Salários.VA.VT.QteDias.LDI.T'!$D$48),2)</f>
        <v>0.25</v>
      </c>
      <c r="F15" s="28">
        <f>TRUNC((((D15+E15)/(1-'Salários.VA.VT.QteDias.LDI.T'!$D$56))*'Salários.VA.VT.QteDias.LDI.T'!$D$56),2)</f>
        <v>0.26</v>
      </c>
      <c r="G15" s="28">
        <f t="shared" si="0"/>
        <v>3.03</v>
      </c>
      <c r="H15" s="7" t="s">
        <v>115</v>
      </c>
      <c r="I15" s="7"/>
      <c r="J15" s="42">
        <f t="shared" si="1"/>
        <v>0</v>
      </c>
    </row>
    <row r="16" spans="1:10" s="29" customFormat="1" ht="19.5" customHeight="1" x14ac:dyDescent="0.2">
      <c r="A16" s="3">
        <v>14</v>
      </c>
      <c r="B16" s="33" t="s">
        <v>128</v>
      </c>
      <c r="C16" s="7" t="s">
        <v>96</v>
      </c>
      <c r="D16" s="124">
        <v>17.36</v>
      </c>
      <c r="E16" s="28">
        <f>TRUNC((D16*'Salários.VA.VT.QteDias.LDI.T'!$D$48),2)</f>
        <v>1.78</v>
      </c>
      <c r="F16" s="28">
        <f>TRUNC((((D16+E16)/(1-'Salários.VA.VT.QteDias.LDI.T'!$D$56))*'Salários.VA.VT.QteDias.LDI.T'!$D$56),2)</f>
        <v>1.81</v>
      </c>
      <c r="G16" s="28">
        <f t="shared" si="0"/>
        <v>20.95</v>
      </c>
      <c r="H16" s="7" t="s">
        <v>115</v>
      </c>
      <c r="I16" s="7"/>
      <c r="J16" s="42">
        <f t="shared" si="1"/>
        <v>0</v>
      </c>
    </row>
    <row r="17" spans="1:10" s="29" customFormat="1" ht="19.5" customHeight="1" x14ac:dyDescent="0.2">
      <c r="A17" s="3">
        <v>15</v>
      </c>
      <c r="B17" s="33" t="s">
        <v>129</v>
      </c>
      <c r="C17" s="7" t="s">
        <v>130</v>
      </c>
      <c r="D17" s="124">
        <v>48.27</v>
      </c>
      <c r="E17" s="28">
        <f>TRUNC((D17*'Salários.VA.VT.QteDias.LDI.T'!$D$48),2)</f>
        <v>4.97</v>
      </c>
      <c r="F17" s="28">
        <f>TRUNC((((D17+E17)/(1-'Salários.VA.VT.QteDias.LDI.T'!$D$56))*'Salários.VA.VT.QteDias.LDI.T'!$D$56),2)</f>
        <v>5.04</v>
      </c>
      <c r="G17" s="28">
        <f t="shared" si="0"/>
        <v>58.28</v>
      </c>
      <c r="H17" s="7"/>
      <c r="I17" s="7">
        <v>1</v>
      </c>
      <c r="J17" s="42">
        <f t="shared" si="1"/>
        <v>58.28</v>
      </c>
    </row>
    <row r="18" spans="1:10" s="29" customFormat="1" ht="19.5" customHeight="1" x14ac:dyDescent="0.2">
      <c r="A18" s="3">
        <v>16</v>
      </c>
      <c r="B18" s="33" t="s">
        <v>131</v>
      </c>
      <c r="C18" s="7" t="s">
        <v>96</v>
      </c>
      <c r="D18" s="124">
        <v>4.3</v>
      </c>
      <c r="E18" s="28">
        <f>TRUNC((D18*'Salários.VA.VT.QteDias.LDI.T'!$D$48),2)</f>
        <v>0.44</v>
      </c>
      <c r="F18" s="28">
        <f>TRUNC((((D18+E18)/(1-'Salários.VA.VT.QteDias.LDI.T'!$D$56))*'Salários.VA.VT.QteDias.LDI.T'!$D$56),2)</f>
        <v>0.44</v>
      </c>
      <c r="G18" s="28">
        <f t="shared" si="0"/>
        <v>5.18</v>
      </c>
      <c r="H18" s="7"/>
      <c r="I18" s="7">
        <v>10</v>
      </c>
      <c r="J18" s="42">
        <f t="shared" si="1"/>
        <v>51.8</v>
      </c>
    </row>
    <row r="19" spans="1:10" s="29" customFormat="1" ht="19.5" customHeight="1" x14ac:dyDescent="0.2">
      <c r="A19" s="3">
        <v>17</v>
      </c>
      <c r="B19" s="33" t="s">
        <v>132</v>
      </c>
      <c r="C19" s="7" t="s">
        <v>133</v>
      </c>
      <c r="D19" s="124">
        <v>2.56</v>
      </c>
      <c r="E19" s="28">
        <f>TRUNC((D19*'Salários.VA.VT.QteDias.LDI.T'!$D$48),2)</f>
        <v>0.26</v>
      </c>
      <c r="F19" s="28">
        <f>TRUNC((((D19+E19)/(1-'Salários.VA.VT.QteDias.LDI.T'!$D$56))*'Salários.VA.VT.QteDias.LDI.T'!$D$56),2)</f>
        <v>0.26</v>
      </c>
      <c r="G19" s="28">
        <f t="shared" si="0"/>
        <v>3.08</v>
      </c>
      <c r="H19" s="7"/>
      <c r="I19" s="7">
        <v>12</v>
      </c>
      <c r="J19" s="42">
        <f t="shared" si="1"/>
        <v>36.96</v>
      </c>
    </row>
    <row r="20" spans="1:10" s="29" customFormat="1" ht="19.5" customHeight="1" x14ac:dyDescent="0.2">
      <c r="A20" s="3">
        <v>18</v>
      </c>
      <c r="B20" s="33" t="s">
        <v>134</v>
      </c>
      <c r="C20" s="7" t="s">
        <v>133</v>
      </c>
      <c r="D20" s="124">
        <v>7.18</v>
      </c>
      <c r="E20" s="28">
        <f>TRUNC((D20*'Salários.VA.VT.QteDias.LDI.T'!$D$48),2)</f>
        <v>0.73</v>
      </c>
      <c r="F20" s="28">
        <f>TRUNC((((D20+E20)/(1-'Salários.VA.VT.QteDias.LDI.T'!$D$56))*'Salários.VA.VT.QteDias.LDI.T'!$D$56),2)</f>
        <v>0.74</v>
      </c>
      <c r="G20" s="28">
        <f t="shared" si="0"/>
        <v>8.65</v>
      </c>
      <c r="H20" s="7" t="s">
        <v>115</v>
      </c>
      <c r="I20" s="7"/>
      <c r="J20" s="42">
        <f t="shared" si="1"/>
        <v>0</v>
      </c>
    </row>
    <row r="21" spans="1:10" s="29" customFormat="1" ht="19.5" customHeight="1" x14ac:dyDescent="0.2">
      <c r="A21" s="3">
        <v>19</v>
      </c>
      <c r="B21" s="33" t="s">
        <v>135</v>
      </c>
      <c r="C21" s="7" t="s">
        <v>133</v>
      </c>
      <c r="D21" s="124">
        <v>6.19</v>
      </c>
      <c r="E21" s="28">
        <f>TRUNC((D21*'Salários.VA.VT.QteDias.LDI.T'!$D$48),2)</f>
        <v>0.63</v>
      </c>
      <c r="F21" s="28">
        <f>TRUNC((((D21+E21)/(1-'Salários.VA.VT.QteDias.LDI.T'!$D$56))*'Salários.VA.VT.QteDias.LDI.T'!$D$56),2)</f>
        <v>0.64</v>
      </c>
      <c r="G21" s="28">
        <f t="shared" si="0"/>
        <v>7.46</v>
      </c>
      <c r="H21" s="7"/>
      <c r="I21" s="7">
        <v>48</v>
      </c>
      <c r="J21" s="42">
        <f t="shared" si="1"/>
        <v>358.08</v>
      </c>
    </row>
    <row r="22" spans="1:10" s="29" customFormat="1" ht="19.5" customHeight="1" x14ac:dyDescent="0.2">
      <c r="A22" s="3">
        <v>20</v>
      </c>
      <c r="B22" s="33" t="s">
        <v>136</v>
      </c>
      <c r="C22" s="7" t="s">
        <v>133</v>
      </c>
      <c r="D22" s="124">
        <v>7.68</v>
      </c>
      <c r="E22" s="28">
        <f>TRUNC((D22*'Salários.VA.VT.QteDias.LDI.T'!$D$48),2)</f>
        <v>0.79</v>
      </c>
      <c r="F22" s="28">
        <f>TRUNC((((D22+E22)/(1-'Salários.VA.VT.QteDias.LDI.T'!$D$56))*'Salários.VA.VT.QteDias.LDI.T'!$D$56),2)</f>
        <v>0.8</v>
      </c>
      <c r="G22" s="28">
        <f t="shared" si="0"/>
        <v>9.27</v>
      </c>
      <c r="H22" s="7" t="s">
        <v>115</v>
      </c>
      <c r="I22" s="7"/>
      <c r="J22" s="42">
        <f t="shared" si="1"/>
        <v>0</v>
      </c>
    </row>
    <row r="23" spans="1:10" s="29" customFormat="1" ht="19.5" customHeight="1" x14ac:dyDescent="0.2">
      <c r="A23" s="3">
        <v>21</v>
      </c>
      <c r="B23" s="33" t="s">
        <v>137</v>
      </c>
      <c r="C23" s="7" t="s">
        <v>96</v>
      </c>
      <c r="D23" s="124">
        <v>41.31</v>
      </c>
      <c r="E23" s="28">
        <f>TRUNC((D23*'Salários.VA.VT.QteDias.LDI.T'!$D$48),2)</f>
        <v>4.25</v>
      </c>
      <c r="F23" s="28">
        <f>TRUNC((((D23+E23)/(1-'Salários.VA.VT.QteDias.LDI.T'!$D$56))*'Salários.VA.VT.QteDias.LDI.T'!$D$56),2)</f>
        <v>4.3099999999999996</v>
      </c>
      <c r="G23" s="28">
        <f t="shared" si="0"/>
        <v>49.87</v>
      </c>
      <c r="H23" s="7"/>
      <c r="I23" s="7">
        <v>1</v>
      </c>
      <c r="J23" s="42">
        <f t="shared" si="1"/>
        <v>49.87</v>
      </c>
    </row>
    <row r="24" spans="1:10" s="29" customFormat="1" ht="19.5" customHeight="1" x14ac:dyDescent="0.2">
      <c r="A24" s="3">
        <v>22</v>
      </c>
      <c r="B24" s="33" t="s">
        <v>138</v>
      </c>
      <c r="C24" s="7" t="s">
        <v>96</v>
      </c>
      <c r="D24" s="124">
        <v>28.81</v>
      </c>
      <c r="E24" s="28">
        <f>TRUNC((D24*'Salários.VA.VT.QteDias.LDI.T'!$D$48),2)</f>
        <v>2.96</v>
      </c>
      <c r="F24" s="28">
        <f>TRUNC((((D24+E24)/(1-'Salários.VA.VT.QteDias.LDI.T'!$D$56))*'Salários.VA.VT.QteDias.LDI.T'!$D$56),2)</f>
        <v>3</v>
      </c>
      <c r="G24" s="28">
        <f t="shared" si="0"/>
        <v>34.770000000000003</v>
      </c>
      <c r="H24" s="7" t="s">
        <v>115</v>
      </c>
      <c r="I24" s="7"/>
      <c r="J24" s="42">
        <f t="shared" si="1"/>
        <v>0</v>
      </c>
    </row>
    <row r="25" spans="1:10" s="29" customFormat="1" ht="19.5" customHeight="1" x14ac:dyDescent="0.2">
      <c r="A25" s="3">
        <v>23</v>
      </c>
      <c r="B25" s="33" t="s">
        <v>139</v>
      </c>
      <c r="C25" s="7" t="s">
        <v>96</v>
      </c>
      <c r="D25" s="124">
        <v>87.5</v>
      </c>
      <c r="E25" s="28">
        <f>TRUNC((D25*'Salários.VA.VT.QteDias.LDI.T'!$D$48),2)</f>
        <v>9.01</v>
      </c>
      <c r="F25" s="28">
        <f>TRUNC((((D25+E25)/(1-'Salários.VA.VT.QteDias.LDI.T'!$D$56))*'Salários.VA.VT.QteDias.LDI.T'!$D$56),2)</f>
        <v>9.1300000000000008</v>
      </c>
      <c r="G25" s="28">
        <f t="shared" si="0"/>
        <v>105.64</v>
      </c>
      <c r="H25" s="7"/>
      <c r="I25" s="7">
        <v>1</v>
      </c>
      <c r="J25" s="42">
        <f t="shared" si="1"/>
        <v>105.64</v>
      </c>
    </row>
    <row r="26" spans="1:10" s="29" customFormat="1" ht="19.5" customHeight="1" x14ac:dyDescent="0.2">
      <c r="A26" s="3">
        <v>24</v>
      </c>
      <c r="B26" s="33" t="s">
        <v>140</v>
      </c>
      <c r="C26" s="7" t="s">
        <v>96</v>
      </c>
      <c r="D26" s="124">
        <v>14.33</v>
      </c>
      <c r="E26" s="28">
        <f>TRUNC((D26*'Salários.VA.VT.QteDias.LDI.T'!$D$48),2)</f>
        <v>1.47</v>
      </c>
      <c r="F26" s="28">
        <f>TRUNC((((D26+E26)/(1-'Salários.VA.VT.QteDias.LDI.T'!$D$56))*'Salários.VA.VT.QteDias.LDI.T'!$D$56),2)</f>
        <v>1.49</v>
      </c>
      <c r="G26" s="28">
        <f t="shared" si="0"/>
        <v>17.29</v>
      </c>
      <c r="H26" s="7"/>
      <c r="I26" s="7">
        <v>2</v>
      </c>
      <c r="J26" s="42">
        <f t="shared" si="1"/>
        <v>34.58</v>
      </c>
    </row>
    <row r="27" spans="1:10" s="29" customFormat="1" ht="19.5" customHeight="1" x14ac:dyDescent="0.2">
      <c r="A27" s="3">
        <v>25</v>
      </c>
      <c r="B27" s="33" t="s">
        <v>141</v>
      </c>
      <c r="C27" s="7" t="s">
        <v>96</v>
      </c>
      <c r="D27" s="124">
        <v>9.4600000000000009</v>
      </c>
      <c r="E27" s="28">
        <f>TRUNC((D27*'Salários.VA.VT.QteDias.LDI.T'!$D$48),2)</f>
        <v>0.97</v>
      </c>
      <c r="F27" s="28">
        <f>TRUNC((((D27+E27)/(1-'Salários.VA.VT.QteDias.LDI.T'!$D$56))*'Salários.VA.VT.QteDias.LDI.T'!$D$56),2)</f>
        <v>0.98</v>
      </c>
      <c r="G27" s="28">
        <f t="shared" si="0"/>
        <v>11.41</v>
      </c>
      <c r="H27" s="7" t="s">
        <v>115</v>
      </c>
      <c r="I27" s="7"/>
      <c r="J27" s="42">
        <f t="shared" si="1"/>
        <v>0</v>
      </c>
    </row>
    <row r="28" spans="1:10" s="29" customFormat="1" ht="19.5" customHeight="1" x14ac:dyDescent="0.2">
      <c r="A28" s="3">
        <v>26</v>
      </c>
      <c r="B28" s="33" t="s">
        <v>142</v>
      </c>
      <c r="C28" s="7" t="s">
        <v>96</v>
      </c>
      <c r="D28" s="124">
        <v>62.87</v>
      </c>
      <c r="E28" s="28">
        <f>TRUNC((D28*'Salários.VA.VT.QteDias.LDI.T'!$D$48),2)</f>
        <v>6.47</v>
      </c>
      <c r="F28" s="28">
        <f>TRUNC((((D28+E28)/(1-'Salários.VA.VT.QteDias.LDI.T'!$D$56))*'Salários.VA.VT.QteDias.LDI.T'!$D$56),2)</f>
        <v>6.56</v>
      </c>
      <c r="G28" s="28">
        <f t="shared" si="0"/>
        <v>75.900000000000006</v>
      </c>
      <c r="H28" s="7" t="s">
        <v>115</v>
      </c>
      <c r="I28" s="7"/>
      <c r="J28" s="42">
        <f t="shared" si="1"/>
        <v>0</v>
      </c>
    </row>
    <row r="29" spans="1:10" s="29" customFormat="1" ht="19.5" customHeight="1" x14ac:dyDescent="0.2">
      <c r="A29" s="3">
        <v>27</v>
      </c>
      <c r="B29" s="33" t="s">
        <v>143</v>
      </c>
      <c r="C29" s="7" t="s">
        <v>96</v>
      </c>
      <c r="D29" s="124">
        <v>1.93</v>
      </c>
      <c r="E29" s="28">
        <f>TRUNC((D29*'Salários.VA.VT.QteDias.LDI.T'!$D$48),2)</f>
        <v>0.19</v>
      </c>
      <c r="F29" s="28">
        <f>TRUNC((((D29+E29)/(1-'Salários.VA.VT.QteDias.LDI.T'!$D$56))*'Salários.VA.VT.QteDias.LDI.T'!$D$56),2)</f>
        <v>0.2</v>
      </c>
      <c r="G29" s="28">
        <f t="shared" si="0"/>
        <v>2.3199999999999998</v>
      </c>
      <c r="H29" s="7"/>
      <c r="I29" s="7">
        <v>10</v>
      </c>
      <c r="J29" s="42">
        <f t="shared" si="1"/>
        <v>23.2</v>
      </c>
    </row>
    <row r="30" spans="1:10" s="29" customFormat="1" ht="19.5" customHeight="1" x14ac:dyDescent="0.2">
      <c r="A30" s="3">
        <v>28</v>
      </c>
      <c r="B30" s="33" t="s">
        <v>144</v>
      </c>
      <c r="C30" s="7" t="s">
        <v>96</v>
      </c>
      <c r="D30" s="124">
        <v>25.46</v>
      </c>
      <c r="E30" s="28">
        <f>TRUNC((D30*'Salários.VA.VT.QteDias.LDI.T'!$D$48),2)</f>
        <v>2.62</v>
      </c>
      <c r="F30" s="28">
        <f>TRUNC((((D30+E30)/(1-'Salários.VA.VT.QteDias.LDI.T'!$D$56))*'Salários.VA.VT.QteDias.LDI.T'!$D$56),2)</f>
        <v>2.65</v>
      </c>
      <c r="G30" s="28">
        <f t="shared" si="0"/>
        <v>30.73</v>
      </c>
      <c r="H30" s="7" t="s">
        <v>115</v>
      </c>
      <c r="I30" s="7"/>
      <c r="J30" s="42">
        <f t="shared" si="1"/>
        <v>0</v>
      </c>
    </row>
    <row r="31" spans="1:10" s="29" customFormat="1" ht="19.5" customHeight="1" x14ac:dyDescent="0.2">
      <c r="A31" s="3">
        <v>29</v>
      </c>
      <c r="B31" s="33" t="s">
        <v>145</v>
      </c>
      <c r="C31" s="7" t="s">
        <v>96</v>
      </c>
      <c r="D31" s="124">
        <v>4.62</v>
      </c>
      <c r="E31" s="28">
        <f>TRUNC((D31*'Salários.VA.VT.QteDias.LDI.T'!$D$48),2)</f>
        <v>0.47</v>
      </c>
      <c r="F31" s="28">
        <f>TRUNC((((D31+E31)/(1-'Salários.VA.VT.QteDias.LDI.T'!$D$56))*'Salários.VA.VT.QteDias.LDI.T'!$D$56),2)</f>
        <v>0.48</v>
      </c>
      <c r="G31" s="28">
        <f t="shared" si="0"/>
        <v>5.57</v>
      </c>
      <c r="H31" s="7" t="s">
        <v>115</v>
      </c>
      <c r="I31" s="7"/>
      <c r="J31" s="42">
        <f t="shared" si="1"/>
        <v>0</v>
      </c>
    </row>
    <row r="32" spans="1:10" s="29" customFormat="1" ht="19.5" customHeight="1" x14ac:dyDescent="0.2">
      <c r="A32" s="3">
        <v>30</v>
      </c>
      <c r="B32" s="33" t="s">
        <v>146</v>
      </c>
      <c r="C32" s="7" t="s">
        <v>133</v>
      </c>
      <c r="D32" s="124">
        <v>5.33</v>
      </c>
      <c r="E32" s="28">
        <f>TRUNC((D32*'Salários.VA.VT.QteDias.LDI.T'!$D$48),2)</f>
        <v>0.54</v>
      </c>
      <c r="F32" s="28">
        <f>TRUNC((((D32+E32)/(1-'Salários.VA.VT.QteDias.LDI.T'!$D$56))*'Salários.VA.VT.QteDias.LDI.T'!$D$56),2)</f>
        <v>0.55000000000000004</v>
      </c>
      <c r="G32" s="28">
        <f t="shared" si="0"/>
        <v>6.42</v>
      </c>
      <c r="H32" s="7"/>
      <c r="I32" s="7">
        <v>12</v>
      </c>
      <c r="J32" s="42">
        <f t="shared" si="1"/>
        <v>77.040000000000006</v>
      </c>
    </row>
    <row r="33" spans="1:10" s="29" customFormat="1" ht="19.5" customHeight="1" x14ac:dyDescent="0.2">
      <c r="A33" s="3">
        <v>31</v>
      </c>
      <c r="B33" s="33" t="s">
        <v>147</v>
      </c>
      <c r="C33" s="7" t="s">
        <v>148</v>
      </c>
      <c r="D33" s="124">
        <v>3.45</v>
      </c>
      <c r="E33" s="28">
        <f>TRUNC((D33*'Salários.VA.VT.QteDias.LDI.T'!$D$48),2)</f>
        <v>0.35</v>
      </c>
      <c r="F33" s="28">
        <f>TRUNC((((D33+E33)/(1-'Salários.VA.VT.QteDias.LDI.T'!$D$56))*'Salários.VA.VT.QteDias.LDI.T'!$D$56),2)</f>
        <v>0.35</v>
      </c>
      <c r="G33" s="28">
        <f t="shared" si="0"/>
        <v>4.1500000000000004</v>
      </c>
      <c r="H33" s="7"/>
      <c r="I33" s="7">
        <v>10</v>
      </c>
      <c r="J33" s="42">
        <f t="shared" si="1"/>
        <v>41.5</v>
      </c>
    </row>
    <row r="34" spans="1:10" s="29" customFormat="1" ht="19.5" customHeight="1" x14ac:dyDescent="0.2">
      <c r="A34" s="3">
        <v>32</v>
      </c>
      <c r="B34" s="33" t="s">
        <v>149</v>
      </c>
      <c r="C34" s="7" t="s">
        <v>148</v>
      </c>
      <c r="D34" s="124">
        <v>3.44</v>
      </c>
      <c r="E34" s="28">
        <f>TRUNC((D34*'Salários.VA.VT.QteDias.LDI.T'!$D$48),2)</f>
        <v>0.35</v>
      </c>
      <c r="F34" s="28">
        <f>TRUNC((((D34+E34)/(1-'Salários.VA.VT.QteDias.LDI.T'!$D$56))*'Salários.VA.VT.QteDias.LDI.T'!$D$56),2)</f>
        <v>0.35</v>
      </c>
      <c r="G34" s="28">
        <f t="shared" si="0"/>
        <v>4.1399999999999997</v>
      </c>
      <c r="H34" s="7" t="s">
        <v>115</v>
      </c>
      <c r="I34" s="7"/>
      <c r="J34" s="42">
        <f t="shared" si="1"/>
        <v>0</v>
      </c>
    </row>
    <row r="35" spans="1:10" s="29" customFormat="1" ht="19.5" customHeight="1" x14ac:dyDescent="0.2">
      <c r="A35" s="3">
        <v>33</v>
      </c>
      <c r="B35" s="33" t="s">
        <v>150</v>
      </c>
      <c r="C35" s="7" t="s">
        <v>148</v>
      </c>
      <c r="D35" s="124">
        <v>97.21</v>
      </c>
      <c r="E35" s="28">
        <f>TRUNC((D35*'Salários.VA.VT.QteDias.LDI.T'!$D$48),2)</f>
        <v>10.01</v>
      </c>
      <c r="F35" s="28">
        <f>TRUNC((((D35+E35)/(1-'Salários.VA.VT.QteDias.LDI.T'!$D$56))*'Salários.VA.VT.QteDias.LDI.T'!$D$56),2)</f>
        <v>10.15</v>
      </c>
      <c r="G35" s="28">
        <f t="shared" ref="G35:G61" si="2">TRUNC((D35+E35+F35),2)</f>
        <v>117.37</v>
      </c>
      <c r="H35" s="7"/>
      <c r="I35" s="7">
        <v>1</v>
      </c>
      <c r="J35" s="42">
        <f t="shared" ref="J35:J63" si="3">TRUNC((G35*I35),2)</f>
        <v>117.37</v>
      </c>
    </row>
    <row r="36" spans="1:10" s="29" customFormat="1" ht="19.5" customHeight="1" x14ac:dyDescent="0.2">
      <c r="A36" s="7">
        <v>34</v>
      </c>
      <c r="B36" s="33" t="s">
        <v>151</v>
      </c>
      <c r="C36" s="7" t="s">
        <v>148</v>
      </c>
      <c r="D36" s="124">
        <v>121.57</v>
      </c>
      <c r="E36" s="28">
        <f>TRUNC((D36*'Salários.VA.VT.QteDias.LDI.T'!$D$48),2)</f>
        <v>12.52</v>
      </c>
      <c r="F36" s="28">
        <f>TRUNC((((D36+E36)/(1-'Salários.VA.VT.QteDias.LDI.T'!$D$56))*'Salários.VA.VT.QteDias.LDI.T'!$D$56),2)</f>
        <v>12.69</v>
      </c>
      <c r="G36" s="28">
        <f t="shared" si="2"/>
        <v>146.78</v>
      </c>
      <c r="H36" s="7" t="s">
        <v>115</v>
      </c>
      <c r="I36" s="7"/>
      <c r="J36" s="42">
        <f t="shared" si="3"/>
        <v>0</v>
      </c>
    </row>
    <row r="37" spans="1:10" s="29" customFormat="1" ht="19.5" customHeight="1" x14ac:dyDescent="0.2">
      <c r="A37" s="7">
        <v>35</v>
      </c>
      <c r="B37" s="33" t="s">
        <v>152</v>
      </c>
      <c r="C37" s="7" t="s">
        <v>148</v>
      </c>
      <c r="D37" s="124">
        <v>131.30000000000001</v>
      </c>
      <c r="E37" s="28">
        <f>TRUNC((D37*'Salários.VA.VT.QteDias.LDI.T'!$D$48),2)</f>
        <v>13.52</v>
      </c>
      <c r="F37" s="28">
        <f>TRUNC((((D37+E37)/(1-'Salários.VA.VT.QteDias.LDI.T'!$D$56))*'Salários.VA.VT.QteDias.LDI.T'!$D$56),2)</f>
        <v>13.71</v>
      </c>
      <c r="G37" s="28">
        <f t="shared" si="2"/>
        <v>158.53</v>
      </c>
      <c r="H37" s="7" t="s">
        <v>115</v>
      </c>
      <c r="I37" s="7"/>
      <c r="J37" s="42">
        <f t="shared" si="3"/>
        <v>0</v>
      </c>
    </row>
    <row r="38" spans="1:10" s="29" customFormat="1" ht="19.5" customHeight="1" x14ac:dyDescent="0.2">
      <c r="A38" s="7">
        <v>36</v>
      </c>
      <c r="B38" s="33" t="s">
        <v>153</v>
      </c>
      <c r="C38" s="7" t="s">
        <v>133</v>
      </c>
      <c r="D38" s="124">
        <v>5.38</v>
      </c>
      <c r="E38" s="28">
        <f>TRUNC((D38*'Salários.VA.VT.QteDias.LDI.T'!$D$48),2)</f>
        <v>0.55000000000000004</v>
      </c>
      <c r="F38" s="28">
        <f>TRUNC((((D38+E38)/(1-'Salários.VA.VT.QteDias.LDI.T'!$D$56))*'Salários.VA.VT.QteDias.LDI.T'!$D$56),2)</f>
        <v>0.56000000000000005</v>
      </c>
      <c r="G38" s="28">
        <f t="shared" si="2"/>
        <v>6.49</v>
      </c>
      <c r="H38" s="7"/>
      <c r="I38" s="7">
        <v>12</v>
      </c>
      <c r="J38" s="42">
        <f t="shared" si="3"/>
        <v>77.88</v>
      </c>
    </row>
    <row r="39" spans="1:10" s="29" customFormat="1" ht="19.5" customHeight="1" x14ac:dyDescent="0.2">
      <c r="A39" s="7">
        <v>37</v>
      </c>
      <c r="B39" s="43" t="s">
        <v>154</v>
      </c>
      <c r="C39" s="7" t="s">
        <v>96</v>
      </c>
      <c r="D39" s="124">
        <v>2.11</v>
      </c>
      <c r="E39" s="28">
        <f>TRUNC((D39*'Salários.VA.VT.QteDias.LDI.T'!$D$48),2)</f>
        <v>0.21</v>
      </c>
      <c r="F39" s="28">
        <f>TRUNC((((D39+E39)/(1-'Salários.VA.VT.QteDias.LDI.T'!$D$56))*'Salários.VA.VT.QteDias.LDI.T'!$D$56),2)</f>
        <v>0.21</v>
      </c>
      <c r="G39" s="28">
        <f t="shared" si="2"/>
        <v>2.5299999999999998</v>
      </c>
      <c r="H39" s="7" t="s">
        <v>115</v>
      </c>
      <c r="I39" s="7"/>
      <c r="J39" s="42">
        <f t="shared" si="3"/>
        <v>0</v>
      </c>
    </row>
    <row r="40" spans="1:10" s="29" customFormat="1" ht="19.5" customHeight="1" x14ac:dyDescent="0.2">
      <c r="A40" s="7">
        <v>38</v>
      </c>
      <c r="B40" s="21" t="s">
        <v>155</v>
      </c>
      <c r="C40" s="7" t="s">
        <v>96</v>
      </c>
      <c r="D40" s="124">
        <v>4.1900000000000004</v>
      </c>
      <c r="E40" s="28">
        <f>TRUNC((D40*'Salários.VA.VT.QteDias.LDI.T'!$D$48),2)</f>
        <v>0.43</v>
      </c>
      <c r="F40" s="28">
        <f>TRUNC((((D40+E40)/(1-'Salários.VA.VT.QteDias.LDI.T'!$D$56))*'Salários.VA.VT.QteDias.LDI.T'!$D$56),2)</f>
        <v>0.43</v>
      </c>
      <c r="G40" s="28">
        <f t="shared" si="2"/>
        <v>5.05</v>
      </c>
      <c r="H40" s="7" t="s">
        <v>115</v>
      </c>
      <c r="I40" s="7"/>
      <c r="J40" s="42">
        <f t="shared" si="3"/>
        <v>0</v>
      </c>
    </row>
    <row r="41" spans="1:10" s="29" customFormat="1" ht="19.5" customHeight="1" x14ac:dyDescent="0.2">
      <c r="A41" s="7">
        <v>39</v>
      </c>
      <c r="B41" s="44" t="s">
        <v>156</v>
      </c>
      <c r="C41" s="7" t="s">
        <v>96</v>
      </c>
      <c r="D41" s="124">
        <v>24.1</v>
      </c>
      <c r="E41" s="28">
        <f>TRUNC((D41*'Salários.VA.VT.QteDias.LDI.T'!$D$48),2)</f>
        <v>2.48</v>
      </c>
      <c r="F41" s="28">
        <f>TRUNC((((D41+E41)/(1-'Salários.VA.VT.QteDias.LDI.T'!$D$56))*'Salários.VA.VT.QteDias.LDI.T'!$D$56),2)</f>
        <v>2.5099999999999998</v>
      </c>
      <c r="G41" s="28">
        <f t="shared" si="2"/>
        <v>29.09</v>
      </c>
      <c r="H41" s="7" t="s">
        <v>115</v>
      </c>
      <c r="I41" s="7"/>
      <c r="J41" s="42">
        <f t="shared" si="3"/>
        <v>0</v>
      </c>
    </row>
    <row r="42" spans="1:10" s="29" customFormat="1" ht="19.5" customHeight="1" x14ac:dyDescent="0.2">
      <c r="A42" s="7">
        <v>40</v>
      </c>
      <c r="B42" s="33" t="s">
        <v>157</v>
      </c>
      <c r="C42" s="7" t="s">
        <v>96</v>
      </c>
      <c r="D42" s="124">
        <v>76.55</v>
      </c>
      <c r="E42" s="28">
        <f>TRUNC((D42*'Salários.VA.VT.QteDias.LDI.T'!$D$48),2)</f>
        <v>7.88</v>
      </c>
      <c r="F42" s="28">
        <f>TRUNC((((D42+E42)/(1-'Salários.VA.VT.QteDias.LDI.T'!$D$56))*'Salários.VA.VT.QteDias.LDI.T'!$D$56),2)</f>
        <v>7.99</v>
      </c>
      <c r="G42" s="28">
        <f t="shared" si="2"/>
        <v>92.42</v>
      </c>
      <c r="H42" s="7"/>
      <c r="I42" s="7">
        <v>1</v>
      </c>
      <c r="J42" s="42">
        <f t="shared" si="3"/>
        <v>92.42</v>
      </c>
    </row>
    <row r="43" spans="1:10" s="29" customFormat="1" ht="19.5" customHeight="1" x14ac:dyDescent="0.2">
      <c r="A43" s="7">
        <v>41</v>
      </c>
      <c r="B43" s="33" t="s">
        <v>158</v>
      </c>
      <c r="C43" s="7" t="s">
        <v>159</v>
      </c>
      <c r="D43" s="124">
        <v>50.65</v>
      </c>
      <c r="E43" s="28">
        <f>TRUNC((D43*'Salários.VA.VT.QteDias.LDI.T'!$D$48),2)</f>
        <v>5.21</v>
      </c>
      <c r="F43" s="28">
        <f>TRUNC((((D43+E43)/(1-'Salários.VA.VT.QteDias.LDI.T'!$D$56))*'Salários.VA.VT.QteDias.LDI.T'!$D$56),2)</f>
        <v>5.28</v>
      </c>
      <c r="G43" s="28">
        <f t="shared" si="2"/>
        <v>61.14</v>
      </c>
      <c r="H43" s="7"/>
      <c r="I43" s="7">
        <v>1</v>
      </c>
      <c r="J43" s="42">
        <f t="shared" si="3"/>
        <v>61.14</v>
      </c>
    </row>
    <row r="44" spans="1:10" s="29" customFormat="1" ht="19.5" customHeight="1" x14ac:dyDescent="0.2">
      <c r="A44" s="7">
        <v>42</v>
      </c>
      <c r="B44" s="33" t="s">
        <v>160</v>
      </c>
      <c r="C44" s="7" t="s">
        <v>96</v>
      </c>
      <c r="D44" s="124">
        <v>50.3</v>
      </c>
      <c r="E44" s="28">
        <f>TRUNC((D44*'Salários.VA.VT.QteDias.LDI.T'!$D$48),2)</f>
        <v>5.18</v>
      </c>
      <c r="F44" s="28">
        <f>TRUNC((((D44+E44)/(1-'Salários.VA.VT.QteDias.LDI.T'!$D$56))*'Salários.VA.VT.QteDias.LDI.T'!$D$56),2)</f>
        <v>5.25</v>
      </c>
      <c r="G44" s="28">
        <f t="shared" si="2"/>
        <v>60.73</v>
      </c>
      <c r="H44" s="7"/>
      <c r="I44" s="7">
        <v>1</v>
      </c>
      <c r="J44" s="42">
        <f t="shared" si="3"/>
        <v>60.73</v>
      </c>
    </row>
    <row r="45" spans="1:10" s="29" customFormat="1" ht="19.5" customHeight="1" x14ac:dyDescent="0.2">
      <c r="A45" s="7">
        <v>43</v>
      </c>
      <c r="B45" s="33" t="s">
        <v>161</v>
      </c>
      <c r="C45" s="7" t="s">
        <v>96</v>
      </c>
      <c r="D45" s="124">
        <v>17.68</v>
      </c>
      <c r="E45" s="28">
        <f>TRUNC((D45*'Salários.VA.VT.QteDias.LDI.T'!$D$48),2)</f>
        <v>1.82</v>
      </c>
      <c r="F45" s="28">
        <f>TRUNC((((D45+E45)/(1-'Salários.VA.VT.QteDias.LDI.T'!$D$56))*'Salários.VA.VT.QteDias.LDI.T'!$D$56),2)</f>
        <v>1.84</v>
      </c>
      <c r="G45" s="28">
        <f t="shared" si="2"/>
        <v>21.34</v>
      </c>
      <c r="H45" s="7"/>
      <c r="I45" s="7">
        <v>1</v>
      </c>
      <c r="J45" s="42">
        <f t="shared" si="3"/>
        <v>21.34</v>
      </c>
    </row>
    <row r="46" spans="1:10" s="29" customFormat="1" ht="19.5" customHeight="1" x14ac:dyDescent="0.2">
      <c r="A46" s="7">
        <v>44</v>
      </c>
      <c r="B46" s="33" t="s">
        <v>162</v>
      </c>
      <c r="C46" s="7" t="s">
        <v>96</v>
      </c>
      <c r="D46" s="124">
        <v>93.47</v>
      </c>
      <c r="E46" s="28">
        <f>TRUNC((D46*'Salários.VA.VT.QteDias.LDI.T'!$D$48),2)</f>
        <v>9.6199999999999992</v>
      </c>
      <c r="F46" s="28">
        <f>TRUNC((((D46+E46)/(1-'Salários.VA.VT.QteDias.LDI.T'!$D$56))*'Salários.VA.VT.QteDias.LDI.T'!$D$56),2)</f>
        <v>9.76</v>
      </c>
      <c r="G46" s="28">
        <f t="shared" si="2"/>
        <v>112.85</v>
      </c>
      <c r="H46" s="7" t="s">
        <v>115</v>
      </c>
      <c r="I46" s="7"/>
      <c r="J46" s="42">
        <f t="shared" si="3"/>
        <v>0</v>
      </c>
    </row>
    <row r="47" spans="1:10" s="29" customFormat="1" ht="19.5" customHeight="1" x14ac:dyDescent="0.2">
      <c r="A47" s="7">
        <v>45</v>
      </c>
      <c r="B47" s="33" t="s">
        <v>163</v>
      </c>
      <c r="C47" s="7" t="s">
        <v>96</v>
      </c>
      <c r="D47" s="124">
        <v>18.54</v>
      </c>
      <c r="E47" s="28">
        <f>TRUNC((D47*'Salários.VA.VT.QteDias.LDI.T'!$D$48),2)</f>
        <v>1.9</v>
      </c>
      <c r="F47" s="28">
        <f>TRUNC((((D47+E47)/(1-'Salários.VA.VT.QteDias.LDI.T'!$D$56))*'Salários.VA.VT.QteDias.LDI.T'!$D$56),2)</f>
        <v>1.93</v>
      </c>
      <c r="G47" s="28">
        <f t="shared" si="2"/>
        <v>22.37</v>
      </c>
      <c r="H47" s="7"/>
      <c r="I47" s="7">
        <v>10</v>
      </c>
      <c r="J47" s="42">
        <f t="shared" si="3"/>
        <v>223.7</v>
      </c>
    </row>
    <row r="48" spans="1:10" s="29" customFormat="1" ht="19.5" customHeight="1" x14ac:dyDescent="0.2">
      <c r="A48" s="7">
        <v>46</v>
      </c>
      <c r="B48" s="33" t="s">
        <v>164</v>
      </c>
      <c r="C48" s="7" t="s">
        <v>133</v>
      </c>
      <c r="D48" s="124">
        <v>4.95</v>
      </c>
      <c r="E48" s="28">
        <f>TRUNC((D48*'Salários.VA.VT.QteDias.LDI.T'!$D$48),2)</f>
        <v>0.5</v>
      </c>
      <c r="F48" s="28">
        <f>TRUNC((((D48+E48)/(1-'Salários.VA.VT.QteDias.LDI.T'!$D$56))*'Salários.VA.VT.QteDias.LDI.T'!$D$56),2)</f>
        <v>0.51</v>
      </c>
      <c r="G48" s="28">
        <f t="shared" si="2"/>
        <v>5.96</v>
      </c>
      <c r="H48" s="7" t="s">
        <v>115</v>
      </c>
      <c r="I48" s="7"/>
      <c r="J48" s="42">
        <f t="shared" si="3"/>
        <v>0</v>
      </c>
    </row>
    <row r="49" spans="1:10" s="29" customFormat="1" ht="19.5" customHeight="1" x14ac:dyDescent="0.2">
      <c r="A49" s="7">
        <v>47</v>
      </c>
      <c r="B49" s="21" t="s">
        <v>165</v>
      </c>
      <c r="C49" s="7" t="s">
        <v>96</v>
      </c>
      <c r="D49" s="124">
        <v>8.1199999999999992</v>
      </c>
      <c r="E49" s="28">
        <f>TRUNC((D49*'Salários.VA.VT.QteDias.LDI.T'!$D$48),2)</f>
        <v>0.83</v>
      </c>
      <c r="F49" s="28">
        <f>TRUNC((((D49+E49)/(1-'Salários.VA.VT.QteDias.LDI.T'!$D$56))*'Salários.VA.VT.QteDias.LDI.T'!$D$56),2)</f>
        <v>0.84</v>
      </c>
      <c r="G49" s="28">
        <f t="shared" si="2"/>
        <v>9.7899999999999991</v>
      </c>
      <c r="H49" s="7" t="s">
        <v>115</v>
      </c>
      <c r="I49" s="7"/>
      <c r="J49" s="42">
        <f t="shared" si="3"/>
        <v>0</v>
      </c>
    </row>
    <row r="50" spans="1:10" s="29" customFormat="1" ht="19.5" customHeight="1" x14ac:dyDescent="0.2">
      <c r="A50" s="7">
        <v>48</v>
      </c>
      <c r="B50" s="33" t="s">
        <v>166</v>
      </c>
      <c r="C50" s="7" t="s">
        <v>96</v>
      </c>
      <c r="D50" s="124">
        <v>3.42</v>
      </c>
      <c r="E50" s="28">
        <f>TRUNC((D50*'Salários.VA.VT.QteDias.LDI.T'!$D$48),2)</f>
        <v>0.35</v>
      </c>
      <c r="F50" s="28">
        <f>TRUNC((((D50+E50)/(1-'Salários.VA.VT.QteDias.LDI.T'!$D$56))*'Salários.VA.VT.QteDias.LDI.T'!$D$56),2)</f>
        <v>0.35</v>
      </c>
      <c r="G50" s="28">
        <f t="shared" si="2"/>
        <v>4.12</v>
      </c>
      <c r="H50" s="7"/>
      <c r="I50" s="7">
        <v>12</v>
      </c>
      <c r="J50" s="42">
        <f t="shared" si="3"/>
        <v>49.44</v>
      </c>
    </row>
    <row r="51" spans="1:10" s="29" customFormat="1" ht="19.5" customHeight="1" x14ac:dyDescent="0.2">
      <c r="A51" s="7">
        <v>49</v>
      </c>
      <c r="B51" s="43" t="s">
        <v>167</v>
      </c>
      <c r="C51" s="7" t="s">
        <v>96</v>
      </c>
      <c r="D51" s="124">
        <v>4.66</v>
      </c>
      <c r="E51" s="28">
        <f>TRUNC((D51*'Salários.VA.VT.QteDias.LDI.T'!$D$48),2)</f>
        <v>0.47</v>
      </c>
      <c r="F51" s="28">
        <f>TRUNC((((D51+E51)/(1-'Salários.VA.VT.QteDias.LDI.T'!$D$56))*'Salários.VA.VT.QteDias.LDI.T'!$D$56),2)</f>
        <v>0.48</v>
      </c>
      <c r="G51" s="28">
        <f t="shared" si="2"/>
        <v>5.61</v>
      </c>
      <c r="H51" s="7" t="s">
        <v>115</v>
      </c>
      <c r="I51" s="7"/>
      <c r="J51" s="42">
        <f t="shared" si="3"/>
        <v>0</v>
      </c>
    </row>
    <row r="52" spans="1:10" s="29" customFormat="1" ht="19.5" customHeight="1" x14ac:dyDescent="0.2">
      <c r="A52" s="7">
        <v>50</v>
      </c>
      <c r="B52" s="21" t="s">
        <v>168</v>
      </c>
      <c r="C52" s="7" t="s">
        <v>96</v>
      </c>
      <c r="D52" s="124">
        <v>5.76</v>
      </c>
      <c r="E52" s="28">
        <f>TRUNC((D52*'Salários.VA.VT.QteDias.LDI.T'!$D$48),2)</f>
        <v>0.59</v>
      </c>
      <c r="F52" s="28">
        <f>TRUNC((((D52+E52)/(1-'Salários.VA.VT.QteDias.LDI.T'!$D$56))*'Salários.VA.VT.QteDias.LDI.T'!$D$56),2)</f>
        <v>0.6</v>
      </c>
      <c r="G52" s="28">
        <f t="shared" si="2"/>
        <v>6.95</v>
      </c>
      <c r="H52" s="7" t="s">
        <v>115</v>
      </c>
      <c r="I52" s="7"/>
      <c r="J52" s="42">
        <f t="shared" si="3"/>
        <v>0</v>
      </c>
    </row>
    <row r="53" spans="1:10" s="29" customFormat="1" ht="19.5" customHeight="1" x14ac:dyDescent="0.2">
      <c r="A53" s="7">
        <v>51</v>
      </c>
      <c r="B53" s="33" t="s">
        <v>169</v>
      </c>
      <c r="C53" s="7" t="s">
        <v>96</v>
      </c>
      <c r="D53" s="124">
        <v>24.12</v>
      </c>
      <c r="E53" s="28">
        <f>TRUNC((D53*'Salários.VA.VT.QteDias.LDI.T'!$D$48),2)</f>
        <v>2.48</v>
      </c>
      <c r="F53" s="28">
        <f>TRUNC((((D53+E53)/(1-'Salários.VA.VT.QteDias.LDI.T'!$D$56))*'Salários.VA.VT.QteDias.LDI.T'!$D$56),2)</f>
        <v>2.5099999999999998</v>
      </c>
      <c r="G53" s="28">
        <f t="shared" si="2"/>
        <v>29.11</v>
      </c>
      <c r="H53" s="7"/>
      <c r="I53" s="7">
        <v>1</v>
      </c>
      <c r="J53" s="42">
        <f t="shared" si="3"/>
        <v>29.11</v>
      </c>
    </row>
    <row r="54" spans="1:10" s="29" customFormat="1" ht="19.5" customHeight="1" x14ac:dyDescent="0.2">
      <c r="A54" s="7">
        <v>52</v>
      </c>
      <c r="B54" s="33" t="s">
        <v>170</v>
      </c>
      <c r="C54" s="7" t="s">
        <v>96</v>
      </c>
      <c r="D54" s="124">
        <v>5.63</v>
      </c>
      <c r="E54" s="28">
        <f>TRUNC((D54*'Salários.VA.VT.QteDias.LDI.T'!$D$48),2)</f>
        <v>0.56999999999999995</v>
      </c>
      <c r="F54" s="28">
        <f>TRUNC((((D54+E54)/(1-'Salários.VA.VT.QteDias.LDI.T'!$D$56))*'Salários.VA.VT.QteDias.LDI.T'!$D$56),2)</f>
        <v>0.57999999999999996</v>
      </c>
      <c r="G54" s="28">
        <f t="shared" si="2"/>
        <v>6.78</v>
      </c>
      <c r="H54" s="7"/>
      <c r="I54" s="7">
        <v>10</v>
      </c>
      <c r="J54" s="42">
        <f t="shared" si="3"/>
        <v>67.8</v>
      </c>
    </row>
    <row r="55" spans="1:10" s="29" customFormat="1" ht="19.5" customHeight="1" x14ac:dyDescent="0.2">
      <c r="A55" s="7">
        <v>53</v>
      </c>
      <c r="B55" s="21" t="s">
        <v>171</v>
      </c>
      <c r="C55" s="7" t="s">
        <v>96</v>
      </c>
      <c r="D55" s="124">
        <v>59.14</v>
      </c>
      <c r="E55" s="28">
        <f>TRUNC((D55*'Salários.VA.VT.QteDias.LDI.T'!$D$48),2)</f>
        <v>6.09</v>
      </c>
      <c r="F55" s="28">
        <f>TRUNC((((D55+E55)/(1-'Salários.VA.VT.QteDias.LDI.T'!$D$56))*'Salários.VA.VT.QteDias.LDI.T'!$D$56),2)</f>
        <v>6.17</v>
      </c>
      <c r="G55" s="28">
        <f t="shared" si="2"/>
        <v>71.400000000000006</v>
      </c>
      <c r="H55" s="7" t="s">
        <v>115</v>
      </c>
      <c r="I55" s="7"/>
      <c r="J55" s="42">
        <f t="shared" si="3"/>
        <v>0</v>
      </c>
    </row>
    <row r="56" spans="1:10" s="29" customFormat="1" ht="19.5" customHeight="1" x14ac:dyDescent="0.2">
      <c r="A56" s="7">
        <v>54</v>
      </c>
      <c r="B56" s="33" t="s">
        <v>172</v>
      </c>
      <c r="C56" s="7" t="s">
        <v>133</v>
      </c>
      <c r="D56" s="124">
        <v>10.67</v>
      </c>
      <c r="E56" s="28">
        <f>TRUNC((D56*'Salários.VA.VT.QteDias.LDI.T'!$D$48),2)</f>
        <v>1.0900000000000001</v>
      </c>
      <c r="F56" s="28">
        <f>TRUNC((((D56+E56)/(1-'Salários.VA.VT.QteDias.LDI.T'!$D$56))*'Salários.VA.VT.QteDias.LDI.T'!$D$56),2)</f>
        <v>1.1100000000000001</v>
      </c>
      <c r="G56" s="28">
        <f t="shared" si="2"/>
        <v>12.87</v>
      </c>
      <c r="H56" s="7" t="s">
        <v>115</v>
      </c>
      <c r="I56" s="7"/>
      <c r="J56" s="42">
        <f t="shared" si="3"/>
        <v>0</v>
      </c>
    </row>
    <row r="57" spans="1:10" s="29" customFormat="1" ht="19.5" customHeight="1" x14ac:dyDescent="0.2">
      <c r="A57" s="7">
        <v>55</v>
      </c>
      <c r="B57" s="33" t="s">
        <v>173</v>
      </c>
      <c r="C57" s="7" t="s">
        <v>96</v>
      </c>
      <c r="D57" s="124">
        <v>17.63</v>
      </c>
      <c r="E57" s="28">
        <f>TRUNC((D57*'Salários.VA.VT.QteDias.LDI.T'!$D$48),2)</f>
        <v>1.81</v>
      </c>
      <c r="F57" s="28">
        <f>TRUNC((((D57+E57)/(1-'Salários.VA.VT.QteDias.LDI.T'!$D$56))*'Salários.VA.VT.QteDias.LDI.T'!$D$56),2)</f>
        <v>1.84</v>
      </c>
      <c r="G57" s="28">
        <f t="shared" si="2"/>
        <v>21.28</v>
      </c>
      <c r="H57" s="7"/>
      <c r="I57" s="7">
        <v>4</v>
      </c>
      <c r="J57" s="42">
        <f t="shared" si="3"/>
        <v>85.12</v>
      </c>
    </row>
    <row r="58" spans="1:10" s="29" customFormat="1" ht="19.5" customHeight="1" x14ac:dyDescent="0.2">
      <c r="A58" s="7">
        <v>56</v>
      </c>
      <c r="B58" s="33" t="s">
        <v>174</v>
      </c>
      <c r="C58" s="7" t="s">
        <v>96</v>
      </c>
      <c r="D58" s="124">
        <v>236.91</v>
      </c>
      <c r="E58" s="28">
        <f>TRUNC((D58*'Salários.VA.VT.QteDias.LDI.T'!$D$48),2)</f>
        <v>24.4</v>
      </c>
      <c r="F58" s="28">
        <f>TRUNC((((D58+E58)/(1-'Salários.VA.VT.QteDias.LDI.T'!$D$56))*'Salários.VA.VT.QteDias.LDI.T'!$D$56),2)</f>
        <v>24.74</v>
      </c>
      <c r="G58" s="28">
        <f t="shared" si="2"/>
        <v>286.05</v>
      </c>
      <c r="H58" s="7"/>
      <c r="I58" s="7">
        <v>6</v>
      </c>
      <c r="J58" s="42">
        <f t="shared" si="3"/>
        <v>1716.3</v>
      </c>
    </row>
    <row r="59" spans="1:10" s="29" customFormat="1" ht="19.5" customHeight="1" x14ac:dyDescent="0.2">
      <c r="A59" s="7">
        <v>57</v>
      </c>
      <c r="B59" s="33" t="s">
        <v>175</v>
      </c>
      <c r="C59" s="7" t="s">
        <v>130</v>
      </c>
      <c r="D59" s="124">
        <v>12.11</v>
      </c>
      <c r="E59" s="28">
        <f>TRUNC((D59*'Salários.VA.VT.QteDias.LDI.T'!$D$48),2)</f>
        <v>1.24</v>
      </c>
      <c r="F59" s="28">
        <f>TRUNC((((D59+E59)/(1-'Salários.VA.VT.QteDias.LDI.T'!$D$56))*'Salários.VA.VT.QteDias.LDI.T'!$D$56),2)</f>
        <v>1.26</v>
      </c>
      <c r="G59" s="28">
        <f t="shared" si="2"/>
        <v>14.61</v>
      </c>
      <c r="H59" s="7"/>
      <c r="I59" s="7">
        <v>10</v>
      </c>
      <c r="J59" s="42">
        <f t="shared" si="3"/>
        <v>146.1</v>
      </c>
    </row>
    <row r="60" spans="1:10" s="29" customFormat="1" ht="19.5" customHeight="1" x14ac:dyDescent="0.2">
      <c r="A60" s="7">
        <v>58</v>
      </c>
      <c r="B60" s="33" t="s">
        <v>176</v>
      </c>
      <c r="C60" s="7" t="s">
        <v>130</v>
      </c>
      <c r="D60" s="124">
        <v>19.64</v>
      </c>
      <c r="E60" s="28">
        <f>TRUNC((D60*'Salários.VA.VT.QteDias.LDI.T'!$D$48),2)</f>
        <v>2.02</v>
      </c>
      <c r="F60" s="28">
        <f>TRUNC((((D60+E60)/(1-'Salários.VA.VT.QteDias.LDI.T'!$D$56))*'Salários.VA.VT.QteDias.LDI.T'!$D$56),2)</f>
        <v>2.0499999999999998</v>
      </c>
      <c r="G60" s="28">
        <f t="shared" si="2"/>
        <v>23.71</v>
      </c>
      <c r="H60" s="7" t="s">
        <v>115</v>
      </c>
      <c r="I60" s="7"/>
      <c r="J60" s="42">
        <f t="shared" si="3"/>
        <v>0</v>
      </c>
    </row>
    <row r="61" spans="1:10" s="29" customFormat="1" ht="19.5" customHeight="1" x14ac:dyDescent="0.2">
      <c r="A61" s="7">
        <v>59</v>
      </c>
      <c r="B61" s="33" t="s">
        <v>177</v>
      </c>
      <c r="C61" s="7" t="s">
        <v>130</v>
      </c>
      <c r="D61" s="124">
        <v>23.91</v>
      </c>
      <c r="E61" s="28">
        <f>TRUNC((D61*'Salários.VA.VT.QteDias.LDI.T'!$D$48),2)</f>
        <v>2.46</v>
      </c>
      <c r="F61" s="28">
        <f>TRUNC((((D61+E61)/(1-'Salários.VA.VT.QteDias.LDI.T'!$D$56))*'Salários.VA.VT.QteDias.LDI.T'!$D$56),2)</f>
        <v>2.4900000000000002</v>
      </c>
      <c r="G61" s="28">
        <f t="shared" si="2"/>
        <v>28.86</v>
      </c>
      <c r="H61" s="7" t="s">
        <v>115</v>
      </c>
      <c r="I61" s="7"/>
      <c r="J61" s="42">
        <f t="shared" si="3"/>
        <v>0</v>
      </c>
    </row>
    <row r="62" spans="1:10" s="29" customFormat="1" ht="19.5" customHeight="1" x14ac:dyDescent="0.2">
      <c r="A62" s="7">
        <v>60</v>
      </c>
      <c r="B62" s="33"/>
      <c r="C62" s="7"/>
      <c r="D62" s="7"/>
      <c r="E62" s="7"/>
      <c r="F62" s="7"/>
      <c r="G62" s="7"/>
      <c r="H62" s="7"/>
      <c r="I62" s="7"/>
      <c r="J62" s="42">
        <f t="shared" si="3"/>
        <v>0</v>
      </c>
    </row>
    <row r="63" spans="1:10" s="29" customFormat="1" ht="19.5" customHeight="1" x14ac:dyDescent="0.2">
      <c r="A63" s="7">
        <v>61</v>
      </c>
      <c r="B63" s="33"/>
      <c r="C63" s="7"/>
      <c r="D63" s="7"/>
      <c r="E63" s="7"/>
      <c r="F63" s="7"/>
      <c r="G63" s="7"/>
      <c r="H63" s="7"/>
      <c r="I63" s="7"/>
      <c r="J63" s="42">
        <f t="shared" si="3"/>
        <v>0</v>
      </c>
    </row>
    <row r="64" spans="1:10" s="29" customFormat="1" ht="19.5" customHeight="1" x14ac:dyDescent="0.3">
      <c r="A64" s="7">
        <v>62</v>
      </c>
      <c r="B64" s="33"/>
      <c r="C64" s="7"/>
      <c r="D64" s="14">
        <f>TRUNC(SUM(D3:D62),2)</f>
        <v>1761.82</v>
      </c>
      <c r="E64" s="14">
        <f>TRUNC(SUM(E3:E62),2)</f>
        <v>181.16</v>
      </c>
      <c r="F64" s="14">
        <f>TRUNC(SUM(F3:F62),2)</f>
        <v>183.65</v>
      </c>
      <c r="G64" s="14">
        <f>TRUNC(SUM(G3:G62),2)</f>
        <v>2126.63</v>
      </c>
      <c r="H64" s="28"/>
      <c r="I64" s="28"/>
      <c r="J64" s="14">
        <f>TRUNC(SUM(J3:J61),2)</f>
        <v>3826.91</v>
      </c>
    </row>
    <row r="65" spans="1:10" s="29" customFormat="1" ht="19.5" customHeight="1" x14ac:dyDescent="0.3">
      <c r="A65" s="37"/>
      <c r="B65" s="37"/>
      <c r="C65" s="37"/>
      <c r="D65" s="37"/>
      <c r="E65" s="37"/>
      <c r="F65" s="37"/>
      <c r="G65" s="37"/>
      <c r="H65" s="37"/>
      <c r="I65" s="37"/>
      <c r="J65" s="37"/>
    </row>
    <row r="66" spans="1:10" s="29" customFormat="1" ht="19.5" customHeight="1" x14ac:dyDescent="0.3">
      <c r="A66" s="37"/>
      <c r="B66" s="37"/>
      <c r="C66" s="37"/>
      <c r="D66" s="37"/>
      <c r="E66" s="37"/>
      <c r="F66" s="37"/>
      <c r="G66" s="37"/>
      <c r="H66" s="37"/>
      <c r="I66" s="37"/>
      <c r="J66" s="37"/>
    </row>
    <row r="67" spans="1:10" s="29" customFormat="1" ht="19.5" customHeight="1" x14ac:dyDescent="0.3">
      <c r="A67" s="24"/>
      <c r="B67" s="24"/>
      <c r="C67" s="24"/>
      <c r="D67" s="24"/>
      <c r="E67" s="24"/>
      <c r="F67" s="24"/>
      <c r="G67" s="24"/>
      <c r="H67" s="141" t="s">
        <v>111</v>
      </c>
      <c r="I67" s="141"/>
      <c r="J67" s="14">
        <f>TRUNC((J64/12),2)</f>
        <v>318.89999999999998</v>
      </c>
    </row>
    <row r="68" spans="1:10" s="29" customFormat="1" ht="19.5" customHeight="1" x14ac:dyDescent="0.3">
      <c r="A68" s="24"/>
      <c r="B68" s="24"/>
      <c r="C68" s="24"/>
      <c r="D68" s="24"/>
      <c r="E68" s="24"/>
      <c r="F68" s="24"/>
      <c r="G68" s="24"/>
      <c r="H68" s="24"/>
      <c r="I68" s="24"/>
      <c r="J68" s="24"/>
    </row>
    <row r="69" spans="1:10" s="29" customFormat="1" ht="19.5" customHeight="1" x14ac:dyDescent="0.3">
      <c r="A69" s="24"/>
      <c r="B69" s="24"/>
      <c r="C69" s="24"/>
      <c r="D69" s="24"/>
      <c r="E69" s="24"/>
      <c r="F69" s="24"/>
      <c r="G69" s="24"/>
      <c r="H69" s="24"/>
      <c r="I69" s="24"/>
      <c r="J69" s="24"/>
    </row>
    <row r="70" spans="1:10" s="29" customFormat="1" ht="19.5" customHeight="1" x14ac:dyDescent="0.3">
      <c r="A70" s="24"/>
      <c r="B70" s="24"/>
      <c r="C70" s="24"/>
      <c r="D70" s="24"/>
      <c r="E70" s="24"/>
      <c r="F70" s="24"/>
      <c r="G70" s="24"/>
      <c r="H70" s="24"/>
      <c r="I70" s="24"/>
      <c r="J70" s="24"/>
    </row>
    <row r="71" spans="1:10" s="29" customFormat="1" ht="19.5" customHeight="1" x14ac:dyDescent="0.3">
      <c r="A71" s="24"/>
      <c r="B71" s="24"/>
      <c r="C71" s="24"/>
      <c r="D71" s="24"/>
      <c r="E71" s="24"/>
      <c r="F71" s="24"/>
      <c r="G71" s="24"/>
      <c r="H71" s="24"/>
      <c r="I71" s="24"/>
      <c r="J71" s="24"/>
    </row>
    <row r="72" spans="1:10" x14ac:dyDescent="0.3">
      <c r="A72" s="38"/>
      <c r="B72" s="38"/>
      <c r="C72" s="38"/>
      <c r="D72" s="38"/>
      <c r="E72" s="38"/>
      <c r="F72" s="38"/>
      <c r="G72" s="38"/>
      <c r="H72" s="38"/>
      <c r="I72" s="38"/>
      <c r="J72" s="38"/>
    </row>
    <row r="73" spans="1:10" x14ac:dyDescent="0.3">
      <c r="A73" s="38"/>
      <c r="B73" s="38"/>
      <c r="C73" s="38"/>
      <c r="D73" s="38"/>
      <c r="E73" s="38"/>
      <c r="F73" s="38"/>
      <c r="G73" s="38"/>
      <c r="H73" s="38"/>
      <c r="I73" s="38"/>
      <c r="J73" s="38"/>
    </row>
  </sheetData>
  <sheetProtection sheet="1" objects="1" scenarios="1"/>
  <protectedRanges>
    <protectedRange sqref="D3:D61" name="Intervalo1"/>
  </protectedRanges>
  <mergeCells count="2">
    <mergeCell ref="A1:J1"/>
    <mergeCell ref="H67:I67"/>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65</TotalTime>
  <Application>Microsoft Excel</Application>
  <DocSecurity>0</DocSecurity>
  <ScaleCrop>false</ScaleCrop>
  <HeadingPairs>
    <vt:vector size="4" baseType="variant">
      <vt:variant>
        <vt:lpstr>Planilhas</vt:lpstr>
      </vt:variant>
      <vt:variant>
        <vt:i4>14</vt:i4>
      </vt:variant>
      <vt:variant>
        <vt:lpstr>Intervalos Nomeados</vt:lpstr>
      </vt:variant>
      <vt:variant>
        <vt:i4>2</vt:i4>
      </vt:variant>
    </vt:vector>
  </HeadingPairs>
  <TitlesOfParts>
    <vt:vector size="16" baseType="lpstr">
      <vt:lpstr>INSTRUÇOES PARA PREENCHIMENTO</vt:lpstr>
      <vt:lpstr>Proposta de Preços</vt:lpstr>
      <vt:lpstr>NP</vt:lpstr>
      <vt:lpstr>PC</vt:lpstr>
      <vt:lpstr>Salários.VA.VT.QteDias.LDI.T</vt:lpstr>
      <vt:lpstr>Gás</vt:lpstr>
      <vt:lpstr>GA</vt:lpstr>
      <vt:lpstr>MLHCC - Ônus da Contratada</vt:lpstr>
      <vt:lpstr>MCC - Sob Demanda</vt:lpstr>
      <vt:lpstr>MLPH</vt:lpstr>
      <vt:lpstr>Unif</vt:lpstr>
      <vt:lpstr>EPI´s - LC</vt:lpstr>
      <vt:lpstr>AAII</vt:lpstr>
      <vt:lpstr>SLCeCopeiragem</vt:lpstr>
      <vt:lpstr>'INSTRUÇOES PARA PREENCHIMENTO'!Area_de_impressao</vt:lpstr>
      <vt:lpstr>'INSTRUÇOES PARA PREENCHIMENTO'!Print_Area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Lyuity Yokoyama</dc:creator>
  <dc:description/>
  <cp:lastModifiedBy>Jefferson Feijó</cp:lastModifiedBy>
  <cp:revision>1</cp:revision>
  <dcterms:created xsi:type="dcterms:W3CDTF">2024-07-11T20:10:42Z</dcterms:created>
  <dcterms:modified xsi:type="dcterms:W3CDTF">2025-06-17T14:29:35Z</dcterms:modified>
  <dc:language>pt-BR</dc:language>
</cp:coreProperties>
</file>